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MwhM547l7InBqvcNaN8/ADYNRm9r+eZPn1so51TBdmF0HthfyFFMzp7bvTJM8x1YvQEjZ6H+EAG1Dg2TnqLKew==" workbookSaltValue="dLlHlDzBJs3YYXKfu5iC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8"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BE9" i="13" s="1"/>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X19" i="8" s="1"/>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C17" i="6" s="1"/>
  <c r="E15" i="2"/>
  <c r="E16" i="2"/>
  <c r="E17" i="2"/>
  <c r="C16" i="2"/>
  <c r="D16" i="2" s="1"/>
  <c r="C17" i="2"/>
  <c r="I9" i="2"/>
  <c r="I10" i="2"/>
  <c r="I11" i="2"/>
  <c r="I12" i="2"/>
  <c r="C10" i="2"/>
  <c r="C11" i="2"/>
  <c r="D11" i="2" s="1"/>
  <c r="C12" i="2"/>
  <c r="D12" i="2" s="1"/>
  <c r="G9" i="2"/>
  <c r="G10" i="2"/>
  <c r="D10" i="6" s="1"/>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AY18"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C18" i="13"/>
  <c r="BF17" i="8"/>
  <c r="BC13" i="13"/>
  <c r="BK19" i="13"/>
  <c r="ER19" i="8"/>
  <c r="EL19" i="8"/>
  <c r="EQ19" i="8"/>
  <c r="ES19" i="8"/>
  <c r="AC19" i="8"/>
  <c r="BH19" i="13"/>
  <c r="R19" i="8"/>
  <c r="EP19" i="8"/>
  <c r="EP19" i="19"/>
  <c r="AT17" i="20"/>
  <c r="AL9" i="11"/>
  <c r="F9" i="2"/>
  <c r="N13" i="2"/>
  <c r="H13" i="12"/>
  <c r="T13" i="12"/>
  <c r="T13" i="16"/>
  <c r="T13" i="20"/>
  <c r="BB13" i="13"/>
  <c r="J18" i="17"/>
  <c r="BG15" i="13"/>
  <c r="BA18" i="13"/>
  <c r="BE15" i="13"/>
  <c r="AH20" i="20"/>
  <c r="AL20" i="20"/>
  <c r="AB20" i="20"/>
  <c r="AO20" i="20"/>
  <c r="AN20" i="20"/>
  <c r="Y20" i="20"/>
  <c r="U10" i="11"/>
  <c r="AJ19" i="8" l="1"/>
  <c r="T19" i="8"/>
  <c r="BD12" i="8"/>
  <c r="H12" i="7" s="1"/>
  <c r="AC10" i="11"/>
  <c r="B10" i="6"/>
  <c r="E12" i="6"/>
  <c r="AL12" i="11"/>
  <c r="R8" i="9"/>
  <c r="BF9" i="8"/>
  <c r="AO12" i="11"/>
  <c r="BG15" i="8"/>
  <c r="K15" i="7" s="1"/>
  <c r="BD16" i="8"/>
  <c r="H16" i="7" s="1"/>
  <c r="C10" i="6"/>
  <c r="I10" i="12" s="1"/>
  <c r="AO17" i="11"/>
  <c r="L16" i="14"/>
  <c r="L17" i="14"/>
  <c r="F15" i="17"/>
  <c r="AQ15" i="17" s="1"/>
  <c r="H12" i="2"/>
  <c r="AY13" i="8"/>
  <c r="L9" i="14"/>
  <c r="L12" i="14"/>
  <c r="AY13" i="13"/>
  <c r="BA13" i="13"/>
  <c r="X12" i="21"/>
  <c r="BF11" i="11"/>
  <c r="BL9" i="11"/>
  <c r="BH17" i="16"/>
  <c r="T17" i="11"/>
  <c r="AP16" i="20"/>
  <c r="BH9" i="16"/>
  <c r="V15" i="11"/>
  <c r="BJ17" i="11"/>
  <c r="BH15" i="11"/>
  <c r="BH15" i="16"/>
  <c r="Q17" i="20"/>
  <c r="Q18" i="20" s="1"/>
  <c r="V11" i="16"/>
  <c r="BF17" i="11"/>
  <c r="BF16" i="11"/>
  <c r="S17" i="16"/>
  <c r="BL12" i="11"/>
  <c r="V17" i="16"/>
  <c r="BK11" i="11"/>
  <c r="AP10" i="21"/>
  <c r="BM12" i="11"/>
  <c r="BH9" i="11"/>
  <c r="BI15" i="11"/>
  <c r="BJ15" i="11"/>
  <c r="BJ12" i="11"/>
  <c r="AP15" i="20"/>
  <c r="BG15" i="11"/>
  <c r="R17" i="20"/>
  <c r="R18" i="20" s="1"/>
  <c r="BK17" i="11"/>
  <c r="AZ9" i="11"/>
  <c r="AZ19" i="11" s="1"/>
  <c r="AP17" i="20"/>
  <c r="BU15" i="17"/>
  <c r="BW9" i="20"/>
  <c r="BW17" i="20"/>
  <c r="BV16" i="16"/>
  <c r="BW16" i="20"/>
  <c r="BV15" i="16"/>
  <c r="BW15" i="20"/>
  <c r="BU9" i="17"/>
  <c r="BV10" i="16"/>
  <c r="BU17" i="17"/>
  <c r="BU16" i="17"/>
  <c r="BV9" i="16"/>
  <c r="AZ16" i="11"/>
  <c r="T16" i="11"/>
  <c r="S15" i="16"/>
  <c r="P15" i="17"/>
  <c r="BF12" i="11"/>
  <c r="BL15" i="11"/>
  <c r="BL10" i="11"/>
  <c r="BH10" i="16"/>
  <c r="Q15" i="17"/>
  <c r="BM17" i="11"/>
  <c r="BF15" i="11"/>
  <c r="BM9" i="11"/>
  <c r="BH12" i="16"/>
  <c r="BK10" i="11"/>
  <c r="L15" i="2"/>
  <c r="L17" i="2"/>
  <c r="V10" i="16"/>
  <c r="V9" i="16"/>
  <c r="T9" i="11"/>
  <c r="BH11" i="16"/>
  <c r="BG10" i="11"/>
  <c r="BM16" i="11"/>
  <c r="P17" i="17"/>
  <c r="P18" i="17" s="1"/>
  <c r="P19" i="17" s="1"/>
  <c r="BL17" i="11"/>
  <c r="BK12" i="11"/>
  <c r="BF10" i="11"/>
  <c r="BK9" i="11"/>
  <c r="BK15" i="11"/>
  <c r="V11" i="11"/>
  <c r="BI10" i="11"/>
  <c r="Q10" i="21"/>
  <c r="V9" i="11"/>
  <c r="BJ11" i="11"/>
  <c r="R10" i="21"/>
  <c r="R13" i="21" s="1"/>
  <c r="BI17" i="11"/>
  <c r="BG9" i="11"/>
  <c r="BL11" i="11"/>
  <c r="BH17" i="11"/>
  <c r="BM15" i="11"/>
  <c r="T17" i="16"/>
  <c r="T15" i="16"/>
  <c r="BU11" i="17"/>
  <c r="BV17" i="16"/>
  <c r="BU10" i="17"/>
  <c r="BV12" i="16"/>
  <c r="L9" i="2"/>
  <c r="L16" i="2"/>
  <c r="BJ16" i="11"/>
  <c r="BH16" i="11"/>
  <c r="BH11" i="11"/>
  <c r="BJ10" i="11"/>
  <c r="BI9" i="11"/>
  <c r="Q17" i="17"/>
  <c r="AZ12" i="11"/>
  <c r="BU12" i="17"/>
  <c r="BW10" i="20"/>
  <c r="BW11" i="20"/>
  <c r="BW12" i="20"/>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J11" i="7" s="1"/>
  <c r="BE12" i="8"/>
  <c r="I12" i="7" s="1"/>
  <c r="BE15" i="8"/>
  <c r="AO17" i="17"/>
  <c r="AO15" i="17"/>
  <c r="C16" i="6"/>
  <c r="U19" i="8"/>
  <c r="Y19" i="8"/>
  <c r="AI19" i="8"/>
  <c r="BK19" i="8"/>
  <c r="B11" i="6"/>
  <c r="C12" i="14"/>
  <c r="K12" i="14" s="1"/>
  <c r="AZ13" i="11"/>
  <c r="K18" i="11"/>
  <c r="E9" i="6"/>
  <c r="I9" i="7"/>
  <c r="H9" i="7"/>
  <c r="K9" i="7"/>
  <c r="AO10" i="17"/>
  <c r="AM9" i="11"/>
  <c r="AO12" i="17"/>
  <c r="AO11" i="11"/>
  <c r="AL11" i="11"/>
  <c r="AO15" i="11"/>
  <c r="AN17" i="11"/>
  <c r="D15" i="6"/>
  <c r="AN11" i="11"/>
  <c r="M18" i="2"/>
  <c r="N18" i="2"/>
  <c r="BB19" i="19"/>
  <c r="CJ19" i="19"/>
  <c r="Y19" i="19"/>
  <c r="AG19" i="19"/>
  <c r="W13" i="17"/>
  <c r="X13" i="17" s="1"/>
  <c r="S18" i="16"/>
  <c r="BD17" i="13"/>
  <c r="BE17" i="13"/>
  <c r="BF9" i="13"/>
  <c r="BE10" i="13"/>
  <c r="BG9" i="13"/>
  <c r="ER19" i="13"/>
  <c r="T10" i="21"/>
  <c r="V10" i="21" s="1"/>
  <c r="BG17" i="8"/>
  <c r="K17" i="7" s="1"/>
  <c r="B13" i="3"/>
  <c r="B13" i="2"/>
  <c r="J13" i="2" s="1"/>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F13" i="2" l="1"/>
  <c r="J18" i="2"/>
  <c r="BG13" i="13"/>
  <c r="C13" i="6"/>
  <c r="K9" i="12"/>
  <c r="BK16" i="11"/>
  <c r="BV11" i="16"/>
  <c r="V12" i="16"/>
  <c r="BG12" i="11"/>
  <c r="AQ10" i="21"/>
  <c r="BG16" i="11"/>
  <c r="BL16" i="11"/>
  <c r="U9" i="17"/>
  <c r="U19" i="17" s="1"/>
  <c r="U10" i="17"/>
  <c r="BH10" i="11"/>
  <c r="AQ12" i="21"/>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B19" i="7" s="1"/>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AX20" i="20"/>
  <c r="H20" i="17"/>
  <c r="O17" i="11"/>
  <c r="L20" i="20"/>
  <c r="O10" i="11"/>
  <c r="F13" i="21" l="1"/>
  <c r="F19" i="21" s="1"/>
  <c r="AO18" i="17"/>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BR20" i="16"/>
  <c r="AW20" i="11"/>
  <c r="AX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H20" i="16"/>
  <c r="I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BD20" i="16"/>
  <c r="AN20" i="16"/>
  <c r="AA20" i="17"/>
  <c r="AK20" i="11"/>
  <c r="AB20" i="21"/>
  <c r="E20" i="12"/>
  <c r="BO20" i="16"/>
  <c r="Y20" i="11"/>
  <c r="J20" i="16"/>
  <c r="S20" i="11"/>
  <c r="AS20" i="11"/>
  <c r="AH20" i="11"/>
  <c r="BS20" i="16"/>
  <c r="AT20" i="11"/>
  <c r="AS20" i="17"/>
  <c r="AI20" i="11"/>
  <c r="AC20" i="17"/>
  <c r="AB20" i="16"/>
  <c r="P20" i="21"/>
  <c r="Y20" i="16"/>
  <c r="AP20" i="17"/>
  <c r="J20" i="11"/>
  <c r="K20" i="12"/>
  <c r="AF20" i="16"/>
  <c r="L20" i="17"/>
  <c r="Q20" i="17"/>
  <c r="AY20" i="11"/>
  <c r="BC20" i="21"/>
  <c r="BK20" i="16"/>
  <c r="S20" i="16"/>
  <c r="X20" i="11"/>
  <c r="AG20" i="11"/>
  <c r="AJ20" i="11"/>
  <c r="AU20" i="21"/>
  <c r="F20" i="11"/>
  <c r="AS20" i="21"/>
  <c r="J20" i="12"/>
  <c r="AP20" i="21"/>
  <c r="E20" i="11"/>
  <c r="L20" i="21"/>
  <c r="M20" i="21"/>
  <c r="AD20" i="21"/>
  <c r="AR20" i="11"/>
  <c r="AN20" i="21"/>
  <c r="AG20" i="17"/>
  <c r="P20" i="17"/>
  <c r="AL20" i="11"/>
  <c r="AJ20" i="17"/>
  <c r="AW20" i="16"/>
  <c r="AE20" i="17"/>
  <c r="AA20" i="16"/>
  <c r="X20" i="16"/>
  <c r="S20" i="17"/>
  <c r="AE20" i="11"/>
  <c r="AI20" i="21"/>
  <c r="AU20" i="11"/>
  <c r="U20" i="20"/>
  <c r="AN20" i="11"/>
  <c r="AA20" i="21"/>
  <c r="H20" i="12"/>
  <c r="I20" i="16"/>
  <c r="V20" i="11"/>
  <c r="I20" i="21"/>
  <c r="V20" i="21"/>
  <c r="BF20" i="16"/>
  <c r="AH20" i="17"/>
  <c r="AW20" i="17"/>
  <c r="BG20" i="16"/>
  <c r="AR20" i="16"/>
  <c r="AT20" i="17"/>
  <c r="R20" i="21"/>
  <c r="X20" i="17"/>
  <c r="AE20" i="21"/>
  <c r="AR20" i="17"/>
  <c r="O12" i="11"/>
  <c r="U20" i="21"/>
  <c r="BD19" i="8" l="1"/>
  <c r="BL20" i="16"/>
  <c r="AP20" i="11"/>
  <c r="AT20" i="21"/>
  <c r="AQ20" i="11"/>
  <c r="AQ20" i="17"/>
  <c r="BM19" i="11"/>
  <c r="V19" i="16"/>
  <c r="BG19" i="11"/>
  <c r="BV19" i="16"/>
  <c r="BV21" i="16"/>
  <c r="G19" i="3"/>
  <c r="Q13" i="11"/>
  <c r="F21" i="11"/>
  <c r="BG19" i="8"/>
  <c r="AO21" i="11"/>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<sst xmlns="http://schemas.openxmlformats.org/spreadsheetml/2006/main" count="2102" uniqueCount="917">
  <si>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</si>
  <si>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</si>
  <si>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</si>
  <si>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</si>
  <si>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</si>
  <si>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</si>
  <si>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</si>
  <si>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</si>
  <si>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</si>
  <si>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</si>
  <si>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</si>
  <si>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</si>
  <si>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</si>
  <si>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</si>
  <si>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</si>
  <si>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</si>
  <si>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</si>
  <si>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</si>
  <si>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</si>
  <si>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</si>
  <si>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</si>
  <si>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</si>
  <si>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</si>
  <si>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</si>
  <si>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</si>
  <si>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</si>
  <si>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</si>
  <si>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</si>
  <si>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</si>
  <si>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</si>
  <si>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</si>
  <si>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</si>
  <si>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</si>
  <si>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</si>
  <si>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</si>
  <si>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</si>
  <si>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</si>
  <si>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</si>
  <si>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</si>
  <si>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</si>
  <si>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</si>
  <si>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</si>
  <si>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</si>
  <si>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</si>
  <si>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</si>
  <si>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</si>
  <si>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</si>
  <si>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</si>
  <si>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</si>
  <si>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</si>
  <si>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</si>
  <si>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</si>
  <si>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</si>
  <si>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</si>
  <si>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</si>
  <si>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</si>
  <si>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</si>
  <si>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</si>
  <si>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</si>
  <si>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</si>
  <si>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</si>
  <si>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</si>
  <si>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</si>
  <si>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</si>
  <si>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</si>
  <si>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</si>
  <si>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</si>
  <si>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</si>
  <si>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</si>
  <si>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</si>
  <si>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</si>
  <si>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</si>
  <si>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</si>
  <si>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</si>
  <si>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</si>
  <si>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</si>
  <si>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</si>
  <si>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</si>
  <si>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</si>
  <si>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</si>
  <si>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</si>
  <si>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</si>
  <si>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</si>
  <si>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</si>
  <si>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</si>
  <si>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</si>
  <si>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</si>
  <si>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</si>
  <si>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</si>
  <si>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</si>
  <si>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</si>
  <si>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</si>
  <si>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</si>
  <si>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</si>
  <si>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</si>
  <si>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</si>
  <si>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</si>
  <si>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</si>
  <si>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</si>
  <si>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</si>
  <si>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</si>
  <si>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</si>
  <si>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</si>
  <si>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</si>
  <si>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</si>
  <si>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</si>
  <si>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</si>
  <si>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</si>
  <si>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</si>
  <si>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</si>
  <si>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</si>
  <si>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</si>
  <si>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</si>
  <si>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</si>
  <si>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</si>
  <si>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</si>
  <si>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</si>
  <si>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</si>
  <si>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</si>
  <si>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</si>
  <si>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</si>
  <si>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</si>
  <si>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</si>
  <si>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</si>
  <si>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</si>
  <si>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</si>
  <si>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</si>
  <si>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</si>
  <si>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</si>
  <si>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</si>
  <si>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</si>
  <si>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</si>
  <si>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</si>
  <si>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</si>
  <si>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</si>
  <si>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</si>
  <si>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</si>
  <si>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</si>
  <si>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</si>
  <si>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</si>
  <si>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</si>
  <si>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</si>
  <si>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</si>
  <si>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</si>
  <si>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</si>
  <si>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</si>
  <si>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</si>
  <si>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</si>
  <si>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</si>
  <si>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</si>
  <si>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</si>
  <si>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</si>
  <si>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</si>
  <si>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</si>
  <si>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</si>
  <si>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</si>
  <si>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</si>
  <si>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</si>
  <si>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</si>
  <si>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</si>
  <si>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</si>
  <si>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</si>
  <si>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</si>
  <si>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</si>
  <si>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</si>
  <si>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</si>
  <si>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</si>
  <si>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</si>
  <si>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</si>
  <si>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</si>
  <si>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</si>
  <si>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</si>
  <si>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</si>
  <si>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</si>
  <si>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</si>
  <si>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</si>
  <si>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</si>
  <si>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</si>
  <si>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</si>
  <si>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</si>
  <si>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</si>
  <si>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</si>
  <si>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</si>
  <si>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</si>
  <si>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</si>
  <si>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</si>
  <si>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</si>
  <si>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</si>
  <si>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</si>
  <si>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</si>
  <si>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</si>
  <si>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</si>
  <si>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</si>
  <si>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</si>
  <si>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</si>
  <si>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</si>
  <si>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</si>
  <si>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</si>
  <si>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</si>
  <si>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</si>
  <si>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</si>
  <si>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</si>
  <si>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</si>
  <si>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</si>
  <si>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</si>
  <si>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</si>
  <si>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</si>
  <si>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</si>
  <si>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</si>
  <si>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</si>
  <si>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</si>
  <si>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</si>
  <si>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</si>
  <si>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</si>
  <si>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</si>
  <si>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</si>
  <si>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</si>
  <si>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</si>
  <si>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</si>
  <si>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</si>
  <si>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</si>
  <si>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</si>
  <si>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</si>
  <si>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</si>
  <si>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</si>
  <si>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</si>
  <si>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</si>
  <si>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</si>
  <si>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</si>
  <si>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</si>
  <si>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</si>
  <si>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</si>
  <si>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</si>
  <si>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</si>
  <si>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</si>
  <si>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</si>
  <si>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</si>
  <si>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</si>
  <si>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</si>
  <si>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</si>
  <si>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</si>
  <si>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</si>
  <si>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</si>
  <si>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</si>
  <si>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</si>
  <si>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</si>
  <si>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</si>
  <si>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</si>
  <si>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</si>
  <si>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</si>
  <si>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</si>
  <si>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</si>
  <si>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</si>
  <si>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</si>
  <si>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</si>
  <si>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</si>
  <si>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</si>
  <si>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</si>
  <si>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</si>
  <si>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</si>
  <si>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</si>
  <si>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</si>
  <si>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</si>
  <si>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</si>
  <si>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</si>
  <si>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</si>
  <si>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</si>
  <si>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</si>
  <si>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</si>
  <si>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</si>
  <si>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</si>
  <si>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</si>
  <si>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</si>
  <si>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</si>
  <si>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</si>
  <si>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</si>
  <si>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</si>
  <si>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</si>
  <si>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</si>
  <si>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</si>
  <si>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</si>
  <si>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</si>
  <si>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</si>
  <si>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</si>
  <si>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</si>
  <si>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</si>
  <si>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</si>
  <si>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</si>
  <si>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</si>
  <si>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</si>
  <si>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</si>
  <si>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</si>
  <si>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</si>
  <si>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</si>
  <si>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</si>
  <si>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</si>
  <si>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</si>
  <si>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</si>
  <si>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</si>
  <si>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</si>
  <si>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</si>
  <si>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</si>
  <si>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</si>
  <si>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</si>
  <si>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</si>
  <si>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</si>
  <si>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</si>
  <si>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</si>
  <si>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</si>
  <si>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</si>
  <si>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</si>
  <si>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</si>
  <si>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</si>
  <si>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</si>
  <si>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</si>
  <si>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</si>
  <si>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</si>
  <si>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</si>
  <si>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</si>
  <si>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</si>
  <si>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</si>
  <si>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</si>
  <si>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</si>
  <si>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</si>
  <si>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</si>
  <si>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</si>
  <si>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</si>
  <si>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</si>
  <si>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</si>
  <si>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</si>
  <si>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</si>
  <si>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</si>
  <si>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</si>
  <si>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</si>
  <si>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</si>
  <si>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</si>
  <si>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</si>
  <si>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</si>
  <si>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</si>
  <si>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</si>
  <si>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</si>
  <si>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</si>
  <si>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</si>
  <si>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</si>
  <si>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</si>
  <si>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</si>
  <si>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</si>
  <si>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</si>
  <si>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</si>
  <si>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</si>
  <si>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</si>
  <si>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</si>
  <si>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</si>
  <si>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</si>
  <si>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</si>
  <si>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</si>
  <si>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</si>
  <si>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</si>
  <si>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</si>
  <si>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</si>
  <si>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</si>
  <si>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</si>
  <si>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</si>
  <si>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</si>
  <si>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</si>
  <si>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</si>
  <si>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</si>
  <si>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</si>
  <si>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</si>
  <si>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</si>
  <si>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</si>
  <si>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</si>
  <si>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</si>
  <si>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</si>
  <si>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</si>
  <si>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</si>
  <si>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</si>
  <si>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</si>
  <si>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</si>
  <si>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</si>
  <si>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</si>
  <si>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</si>
  <si>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</si>
  <si>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</si>
  <si>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</si>
  <si>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</si>
  <si>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</si>
  <si>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</si>
  <si>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</si>
  <si>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</si>
  <si>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</si>
  <si>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</si>
  <si>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</si>
  <si>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</si>
  <si>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</si>
  <si>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</si>
  <si>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</si>
  <si>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</si>
  <si>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</si>
  <si>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</si>
  <si>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</si>
  <si>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</si>
  <si>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</si>
  <si>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</si>
  <si>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</si>
  <si>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</si>
  <si>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</si>
  <si>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</si>
  <si>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</si>
  <si>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</si>
  <si>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</si>
  <si>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</si>
  <si>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</si>
  <si>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</si>
  <si>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</si>
  <si>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</si>
  <si>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</si>
  <si>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</si>
  <si>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</si>
  <si>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</si>
  <si>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</si>
  <si>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</si>
  <si>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</si>
  <si>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</si>
  <si>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</si>
  <si>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</si>
  <si>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</si>
  <si>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</si>
  <si>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</si>
  <si>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</si>
  <si>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</si>
  <si>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</si>
  <si>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</si>
  <si>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</si>
  <si>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</si>
  <si>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</si>
  <si>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</si>
  <si>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</si>
  <si>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</si>
  <si>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</si>
  <si>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</si>
  <si>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</si>
  <si>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</si>
  <si>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</si>
  <si>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</si>
  <si>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</si>
  <si>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</si>
  <si>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</si>
  <si>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</si>
  <si>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</si>
  <si>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</si>
  <si>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</si>
  <si>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</si>
  <si>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</si>
  <si>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</si>
  <si>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</si>
  <si>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</si>
  <si>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</si>
  <si>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</si>
  <si>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</si>
  <si>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</si>
  <si>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</si>
  <si>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</si>
  <si>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</si>
  <si>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</si>
  <si>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</si>
  <si>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</si>
  <si>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</si>
  <si>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</si>
  <si>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</si>
  <si>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</si>
  <si>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</si>
  <si>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</si>
  <si>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</si>
  <si>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</si>
  <si>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</si>
  <si>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</si>
  <si>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</si>
  <si>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</si>
  <si>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</si>
  <si>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</si>
  <si>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</si>
  <si>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</si>
  <si>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</si>
  <si>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</si>
  <si>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</si>
  <si>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</si>
  <si>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</si>
  <si>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</si>
  <si>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</si>
  <si>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</si>
  <si>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</si>
  <si>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</si>
  <si>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</si>
  <si>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</si>
  <si>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</si>
  <si>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</si>
  <si>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</si>
  <si>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</si>
  <si>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</si>
  <si>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</si>
  <si>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</si>
  <si>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</si>
  <si>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</si>
  <si>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</si>
  <si>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</si>
  <si>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</si>
  <si>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</si>
  <si>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</si>
  <si>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</si>
  <si>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</si>
  <si>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</si>
  <si>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</si>
  <si>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</si>
  <si>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</si>
  <si>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</si>
  <si>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</si>
  <si>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</si>
  <si>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</si>
  <si>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</si>
  <si>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</si>
  <si>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</si>
  <si>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</si>
  <si>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</si>
  <si>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</si>
  <si>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</si>
  <si>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</si>
  <si>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</si>
  <si>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</si>
  <si>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</si>
  <si>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</si>
  <si>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</si>
  <si>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</si>
  <si>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</si>
  <si>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</si>
  <si>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</si>
  <si>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</si>
  <si>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</si>
  <si>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</si>
  <si>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</si>
  <si>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</si>
  <si>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</si>
  <si>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</si>
  <si>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</si>
  <si>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</si>
  <si>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</si>
  <si>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</si>
  <si>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</si>
  <si>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</si>
  <si>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</si>
  <si>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</si>
  <si>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</si>
  <si>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</si>
  <si>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</si>
  <si>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</si>
  <si>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</si>
  <si>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</si>
  <si>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</si>
  <si>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</si>
  <si>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</si>
  <si>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</si>
  <si>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</si>
  <si>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</si>
  <si>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</si>
  <si>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</si>
  <si>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</si>
  <si>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</si>
  <si>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</si>
  <si>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</si>
  <si>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</si>
  <si>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</si>
  <si>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</si>
  <si>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</si>
  <si>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</si>
  <si>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</si>
  <si>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</si>
  <si>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</si>
  <si>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</si>
  <si>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</si>
  <si>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</si>
  <si>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</si>
  <si>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</si>
  <si>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</si>
  <si>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</si>
  <si>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</si>
  <si>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</si>
  <si>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</si>
  <si>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</si>
  <si>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</si>
  <si>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</si>
  <si>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</si>
  <si>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</si>
  <si>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</si>
  <si>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</si>
  <si>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</si>
  <si>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</si>
  <si>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</si>
  <si>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</si>
  <si>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</si>
  <si>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</si>
  <si>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</si>
  <si>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</si>
  <si>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</si>
  <si>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</si>
  <si>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</si>
  <si>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</si>
  <si>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</si>
  <si>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</si>
  <si>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</si>
  <si>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</si>
  <si>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</si>
  <si>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</si>
  <si>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</si>
  <si>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</si>
  <si>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</si>
  <si>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</si>
  <si>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</si>
  <si>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</si>
  <si>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</si>
  <si>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</si>
  <si>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</si>
  <si>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</si>
  <si>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</si>
  <si>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</si>
  <si>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</si>
  <si>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</si>
  <si>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</si>
  <si>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</si>
  <si>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</si>
  <si>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</si>
  <si>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</si>
  <si>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</si>
  <si>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</si>
  <si>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</si>
  <si>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</si>
  <si>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</si>
  <si>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</si>
  <si>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</si>
  <si>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</si>
  <si>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</si>
  <si>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</si>
  <si>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</si>
  <si>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</si>
  <si>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</si>
  <si>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</si>
  <si>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</si>
  <si>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</si>
  <si>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</si>
  <si>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</si>
  <si>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</si>
  <si>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</si>
  <si>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</si>
  <si>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</si>
  <si>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</si>
  <si>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</si>
  <si>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</si>
  <si>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</si>
  <si>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</si>
  <si>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</si>
  <si>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</si>
  <si>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</si>
  <si>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</si>
  <si>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</si>
  <si>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</si>
  <si>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</si>
  <si>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</si>
  <si>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</si>
  <si>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</si>
  <si>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</si>
  <si>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</si>
  <si>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</si>
  <si>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</si>
  <si>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</si>
  <si>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</si>
  <si>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</si>
  <si>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</si>
  <si>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</si>
  <si>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</si>
  <si>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</si>
  <si>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</si>
  <si>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</si>
  <si>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</si>
  <si>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</si>
  <si>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</si>
  <si>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</si>
  <si>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</si>
  <si>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</si>
  <si>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</si>
  <si>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</si>
  <si>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</si>
  <si>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</si>
  <si>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</si>
  <si>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</si>
  <si>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</si>
  <si>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</si>
  <si>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</si>
  <si>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</si>
  <si>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</si>
  <si>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</si>
  <si>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</si>
  <si>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</si>
  <si>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</si>
  <si>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</si>
  <si>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</si>
  <si>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</si>
  <si>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</si>
  <si>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</si>
  <si>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</si>
  <si>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</si>
  <si>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</si>
  <si>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</si>
  <si>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</si>
  <si>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</si>
  <si>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</si>
  <si>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</si>
  <si>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</si>
  <si>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</si>
  <si>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</si>
  <si>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</si>
  <si>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</si>
  <si>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</si>
  <si>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</si>
  <si>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</si>
  <si>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</si>
  <si>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</si>
  <si>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</si>
  <si>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</si>
  <si>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</si>
  <si>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</si>
  <si>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</si>
  <si>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</si>
  <si>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</si>
  <si>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</si>
  <si>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</si>
  <si>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</si>
  <si>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</si>
  <si>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</si>
  <si>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</si>
  <si>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</si>
  <si>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</si>
  <si>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</si>
  <si>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</si>
  <si>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</si>
  <si>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</si>
  <si>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</si>
  <si>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</si>
  <si>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</si>
  <si>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</si>
  <si>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</si>
  <si>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</si>
  <si>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</si>
  <si>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</si>
  <si>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</si>
  <si>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</si>
  <si>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</si>
  <si>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</si>
  <si>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</si>
  <si>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</si>
  <si>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</si>
  <si>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</si>
  <si>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</si>
  <si>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</si>
  <si>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</si>
  <si>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</si>
  <si>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</si>
  <si>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</si>
  <si>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</si>
  <si>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</si>
  <si>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</si>
  <si>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</si>
  <si>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</si>
  <si>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</si>
  <si>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</si>
  <si>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</si>
  <si>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</si>
  <si>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</si>
  <si>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</si>
  <si>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</si>
  <si>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</si>
  <si>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</si>
  <si>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</si>
  <si>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</si>
  <si>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</si>
  <si>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</si>
  <si>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</si>
  <si>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</si>
  <si>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</si>
  <si>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</si>
  <si>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</si>
  <si>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</si>
  <si>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</si>
  <si>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</si>
  <si>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</si>
  <si>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</si>
  <si>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</si>
  <si>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</si>
  <si>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</si>
  <si>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</si>
  <si>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</si>
  <si>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</si>
  <si>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</si>
  <si>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</si>
  <si>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</si>
  <si>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</si>
  <si>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</si>
  <si>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</si>
  <si>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</si>
  <si>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</si>
  <si>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</si>
  <si>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</si>
  <si>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</si>
  <si>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</si>
  <si>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</si>
  <si>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</si>
  <si>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</si>
  <si>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</si>
  <si>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</si>
  <si>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</si>
  <si>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</si>
  <si>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</si>
  <si>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</si>
  <si>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</si>
  <si>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</si>
  <si>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</si>
  <si>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</si>
  <si>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</si>
  <si>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</si>
  <si>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</si>
  <si>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</si>
  <si>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</si>
  <si>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</si>
  <si>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</si>
  <si>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</si>
  <si>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</si>
  <si>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</si>
  <si>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</si>
  <si>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</si>
  <si>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</si>
  <si>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</si>
  <si>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</si>
  <si>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</si>
  <si>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</si>
  <si>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</si>
  <si>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</si>
  <si>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</si>
  <si>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</si>
  <si>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</si>
  <si>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</si>
  <si>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</si>
  <si>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</si>
  <si>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</si>
  <si>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</si>
  <si>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</si>
  <si>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</si>
  <si>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</si>
  <si>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</si>
  <si>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</si>
  <si>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</si>
  <si>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</si>
  <si>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</si>
  <si>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</si>
  <si>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</si>
  <si>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</si>
  <si>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</si>
  <si>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</si>
  <si>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</si>
  <si>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</si>
  <si>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</si>
  <si>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</si>
  <si>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</si>
  <si>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</si>
  <si>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</si>
  <si>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</si>
  <si>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</si>
  <si>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</si>
  <si>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</si>
  <si>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</si>
  <si>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</si>
  <si>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</si>
  <si>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</si>
  <si>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</si>
  <si>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</si>
  <si>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</si>
  <si>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</si>
  <si>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</si>
  <si>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</si>
  <si>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</si>
  <si>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</si>
  <si>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</si>
  <si>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</si>
  <si>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</si>
  <si>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</si>
  <si>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</si>
  <si>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</si>
  <si>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</si>
  <si>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</si>
  <si>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</si>
  <si>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</si>
  <si>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</si>
  <si>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</si>
  <si>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</si>
  <si>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</si>
  <si>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</si>
  <si>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</si>
  <si>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</si>
  <si>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</si>
  <si>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</si>
  <si>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</si>
  <si>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</si>
  <si>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</si>
  <si>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</si>
  <si>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</si>
  <si>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COMUNIDAD VALENCIANA</t>
  </si>
  <si>
    <t>Provincias</t>
  </si>
  <si>
    <t>VALENCIA</t>
  </si>
  <si>
    <t>Resumenes por Partidos Judiciales</t>
  </si>
  <si>
    <t>XATIVA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</si>
</sst>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bC48sY9oqpgeByy8fNL4/iKrKTbsOiP+kInfwXoRyZm2YUbpzMZCyL2u+yHmwhzuFdg/Z8/h3OUopqnoxtUUw==" saltValue="l6e8NbrTTa767OBea/cA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13</v>
      </c>
      <c r="D10" s="225">
        <f>IF(ISNUMBER(Datos!I10),Datos!I10," - ")</f>
        <v>13</v>
      </c>
      <c r="E10" s="226">
        <f>IF(ISNUMBER(Datos!J10),Datos!J10," - ")</f>
        <v>1</v>
      </c>
      <c r="F10" s="226">
        <f>IF(ISNUMBER(Datos!K10),Datos!K10," - ")</f>
        <v>2</v>
      </c>
      <c r="G10" s="1034" t="str">
        <f>IF(Datos!E10&lt;&gt;"",Datos!E10,Datos!D10)</f>
        <v>37</v>
      </c>
      <c r="H10" s="227">
        <f>IF(ISNUMBER(Datos!L10),Datos!L10," - ")</f>
        <v>12</v>
      </c>
      <c r="I10" s="1044" t="str">
        <f>IF(ISNUMBER(Datos!AS10/Datos!BM10),Datos!AS10/Datos!BM10," - ")</f>
        <v xml:space="preserve"> - </v>
      </c>
      <c r="J10" s="1045">
        <f>IF(ISNUMBER(Datos!BY10/Datos!CN10),Datos!BY10/Datos!CN10," - ")</f>
        <v>0</v>
      </c>
      <c r="K10" s="230">
        <f t="shared" ref="K10:K12" si="1">IF(ISNUMBER((E10-F10)/C10),(E10-F10)/C10," - ")</f>
        <v>-7.6923076923076927E-2</v>
      </c>
      <c r="L10" s="1025">
        <f>IF(ISNUMBER(NºAsuntos!I10/NºAsuntos!G10),(NºAsuntos!I10/NºAsuntos!G10)*11," - ")</f>
        <v>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29.245333333333331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13</v>
      </c>
      <c r="D13" s="1049">
        <f>SUBTOTAL(9,D9:D12)</f>
        <v>13</v>
      </c>
      <c r="E13" s="1050">
        <f>SUBTOTAL(9,E9:E12)</f>
        <v>1</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1620</v>
      </c>
      <c r="D16" s="225">
        <f>IF(ISNUMBER(IF(D_I="SI",Datos!I16,Datos!I16+Datos!AC16)),IF(D_I="SI",Datos!I16,Datos!I16+Datos!AC16)," - ")</f>
        <v>1620</v>
      </c>
      <c r="E16" s="226">
        <f>IF(ISNUMBER(IF(D_I="SI",Datos!J16,Datos!J16+Datos!AD16)),IF(D_I="SI",Datos!J16,Datos!J16+Datos!AD16)," - ")</f>
        <v>1056</v>
      </c>
      <c r="F16" s="226">
        <f>IF(ISNUMBER(IF(D_I="SI",Datos!K16,Datos!K16+Datos!AE16)),IF(D_I="SI",Datos!K16,Datos!K16+Datos!AE16)," - ")</f>
        <v>983</v>
      </c>
      <c r="G16" s="1034" t="str">
        <f>IF(Datos!E16&lt;&gt;"",Datos!E16,Datos!D16)</f>
        <v>04</v>
      </c>
      <c r="H16" s="227">
        <f>IF(ISNUMBER(IF(D_I="SI",Datos!L16,Datos!L16+Datos!AF16)),IF(D_I="SI",Datos!L16,Datos!L16+Datos!AF16)," - ")</f>
        <v>1693</v>
      </c>
      <c r="I16" s="1044" t="str">
        <f>IF(ISNUMBER(Datos!AS16/Datos!BM16),Datos!AS16/Datos!BM16," - ")</f>
        <v xml:space="preserve"> - </v>
      </c>
      <c r="J16" s="1045">
        <f>IF(ISNUMBER(Datos!BY16/Datos!CN16),Datos!BY16/Datos!CN16," - ")</f>
        <v>0</v>
      </c>
      <c r="K16" s="230">
        <f t="shared" si="3"/>
        <v>4.5061728395061729E-2</v>
      </c>
      <c r="L16" s="1025">
        <f>IF(ISNUMBER(NºAsuntos!I16/NºAsuntos!G16),(NºAsuntos!I16/NºAsuntos!G16)*11," - ")</f>
        <v>18.945066124109868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18</v>
      </c>
      <c r="D17" s="225">
        <f>IF(ISNUMBER(IF(D_I="SI",Datos!I17,Datos!I17+Datos!AC17)),IF(D_I="SI",Datos!I17,Datos!I17+Datos!AC17)," - ")</f>
        <v>18</v>
      </c>
      <c r="E17" s="226">
        <f>IF(ISNUMBER(IF(D_I="SI",Datos!J17,Datos!J17+Datos!AD17)),IF(D_I="SI",Datos!J17,Datos!J17+Datos!AD17)," - ")</f>
        <v>9</v>
      </c>
      <c r="F17" s="226">
        <f>IF(ISNUMBER(IF(D_I="SI",Datos!K17,Datos!K17+Datos!AE17)),IF(D_I="SI",Datos!K17,Datos!K17+Datos!AE17)," - ")</f>
        <v>12</v>
      </c>
      <c r="G17" s="1034" t="str">
        <f>IF(Datos!E17&lt;&gt;"",Datos!E17,Datos!D17)</f>
        <v>37</v>
      </c>
      <c r="H17" s="227">
        <f>IF(ISNUMBER(IF(D_I="SI",Datos!L17,Datos!L17+Datos!AF17)),IF(D_I="SI",Datos!L17,Datos!L17+Datos!AF17)," - ")</f>
        <v>15</v>
      </c>
      <c r="I17" s="1044" t="str">
        <f>IF(ISNUMBER(Datos!AS17/Datos!BM17),Datos!AS17/Datos!BM17," - ")</f>
        <v xml:space="preserve"> - </v>
      </c>
      <c r="J17" s="1045" t="str">
        <f>IF(ISNUMBER((Datos!BY17+Datos!BZ17)/Datos!CN17),(Datos!BY17+Datos!BZ17)/Datos!CN17," - ")</f>
        <v xml:space="preserve"> - </v>
      </c>
      <c r="K17" s="230">
        <f t="shared" si="3"/>
        <v>-0.16666666666666666</v>
      </c>
      <c r="L17" s="1025">
        <f>IF(ISNUMBER(NºAsuntos!I17/NºAsuntos!G17),(NºAsuntos!I17/NºAsuntos!G17)*11," - ")</f>
        <v>13.75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1638</v>
      </c>
      <c r="D18" s="1049">
        <f>SUBTOTAL(9,D15:D17)</f>
        <v>1638</v>
      </c>
      <c r="E18" s="1050">
        <f>SUBTOTAL(9,E15:E17)</f>
        <v>1065</v>
      </c>
      <c r="F18" s="1050">
        <f>SUBTOTAL(9,F15:F17)</f>
        <v>995</v>
      </c>
      <c r="G18" s="1052" t="str">
        <f ca="1">INDIRECT(CONCATENATE("G",ROW()-1))</f>
        <v>37</v>
      </c>
      <c r="H18" s="1053">
        <f ca="1">SUMIF(G$14:G17,G18,H$14:H17)</f>
        <v>15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1651</v>
      </c>
      <c r="D19" s="1071">
        <f>SUBTOTAL(9,D9:D18)</f>
        <v>1651</v>
      </c>
      <c r="E19" s="1072">
        <f>SUBTOTAL(9,E9:E18)</f>
        <v>1066</v>
      </c>
      <c r="F19" s="1072">
        <f>SUBTOTAL(9,F9:F18)</f>
        <v>997</v>
      </c>
      <c r="G19" s="1073"/>
      <c r="H19" s="1074">
        <f ca="1">SUMIF(B9:B18,"TOTAL",H9:H18)</f>
        <v>15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XZ95jHkYRGo0zVdEGxrejoliP3HeHTjJpwzsyQoFdJHBCE0d/yDCvhxQjF80Eni5sAAncO8q59fM3++hDPcnYw==" saltValue="CgSqc+ImStkTu9IfvZuCe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LgqpMRYtt2h20JXXJy+r79xpF39bZZUaT6KOq/wWPldO4mMOaTWCVOcoryyzSQw8DWZot+0/dF1f5ocHSqooQ==" saltValue="xVD/L+lpUP8oPJ6B7too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13</v>
      </c>
      <c r="J10" s="181">
        <v>1</v>
      </c>
      <c r="K10" s="181">
        <v>2</v>
      </c>
      <c r="L10" s="181">
        <v>12</v>
      </c>
      <c r="M10" s="181">
        <v>2</v>
      </c>
      <c r="N10" s="181">
        <v>0</v>
      </c>
      <c r="O10" s="181">
        <v>0</v>
      </c>
      <c r="P10" s="181">
        <v>0</v>
      </c>
      <c r="Q10" s="181">
        <v>1</v>
      </c>
      <c r="R10" s="181">
        <v>21</v>
      </c>
      <c r="S10" s="181">
        <v>10</v>
      </c>
      <c r="T10" s="181">
        <v>1</v>
      </c>
      <c r="U10" s="181">
        <v>4</v>
      </c>
      <c r="V10" s="181">
        <v>7</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10</v>
      </c>
      <c r="AZ10" s="129">
        <f t="shared" si="0"/>
        <v>1</v>
      </c>
      <c r="BA10" s="129">
        <f t="shared" si="0"/>
        <v>4</v>
      </c>
      <c r="BB10" s="129">
        <f t="shared" si="0"/>
        <v>7</v>
      </c>
      <c r="BC10" s="125">
        <f t="shared" si="0"/>
        <v>4</v>
      </c>
      <c r="BD10" s="126">
        <f>IF(ISNUMBER(BA10/AZ10),BA10/AZ10," - ")</f>
        <v>4</v>
      </c>
      <c r="BE10" s="127">
        <f>IF(ISNUMBER(BB10/BA10),BB10/BA10, " - ")</f>
        <v>1.75</v>
      </c>
      <c r="BF10" s="127">
        <f>IF(ISNUMBER(BC10/BA10),BC10/BA10, " - ")</f>
        <v>1</v>
      </c>
      <c r="BG10" s="196">
        <f>IF(ISNUMBER((AY10+AZ10)/BA10),(AY10+AZ10)/BA10," - ")</f>
        <v>2.75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2183</v>
      </c>
      <c r="J12" s="183">
        <v>1612</v>
      </c>
      <c r="K12" s="183">
        <v>1018</v>
      </c>
      <c r="L12" s="183">
        <v>2780</v>
      </c>
      <c r="M12" s="183">
        <v>222</v>
      </c>
      <c r="N12" s="183">
        <v>337</v>
      </c>
      <c r="O12" s="181">
        <v>521</v>
      </c>
      <c r="P12" s="183">
        <v>198</v>
      </c>
      <c r="Q12" s="183">
        <v>145</v>
      </c>
      <c r="R12" s="183">
        <v>3929</v>
      </c>
      <c r="S12" s="183">
        <v>1801</v>
      </c>
      <c r="T12" s="183">
        <v>847</v>
      </c>
      <c r="U12" s="183">
        <v>760</v>
      </c>
      <c r="V12" s="183">
        <v>1890</v>
      </c>
      <c r="W12" s="183">
        <v>189</v>
      </c>
      <c r="X12" s="189">
        <v>330</v>
      </c>
      <c r="Y12" s="191">
        <v>207</v>
      </c>
      <c r="Z12" s="181">
        <v>111</v>
      </c>
      <c r="AA12" s="181">
        <v>107</v>
      </c>
      <c r="AB12" s="181">
        <v>211</v>
      </c>
      <c r="AC12" s="183">
        <v>0</v>
      </c>
      <c r="AD12" s="183">
        <v>0</v>
      </c>
      <c r="AE12" s="183">
        <v>0</v>
      </c>
      <c r="AF12" s="189">
        <v>0</v>
      </c>
      <c r="AG12" s="202">
        <v>127</v>
      </c>
      <c r="AH12" s="183">
        <v>114</v>
      </c>
      <c r="AI12" s="183">
        <v>102</v>
      </c>
      <c r="AJ12" s="203">
        <v>139</v>
      </c>
      <c r="AK12" s="182">
        <v>0</v>
      </c>
      <c r="AL12" s="183">
        <v>0</v>
      </c>
      <c r="AM12" s="183">
        <v>0</v>
      </c>
      <c r="AN12" s="189">
        <v>0</v>
      </c>
      <c r="AO12" s="259">
        <v>4</v>
      </c>
      <c r="AP12" s="155">
        <v>4</v>
      </c>
      <c r="AQ12" s="155">
        <v>4</v>
      </c>
      <c r="AR12" s="154">
        <v>4</v>
      </c>
      <c r="AS12" s="340" t="s">
        <v>801</v>
      </c>
      <c r="AT12" s="203"/>
      <c r="AU12" s="202"/>
      <c r="AV12" s="203"/>
      <c r="AW12" s="202"/>
      <c r="AX12" s="203"/>
      <c r="AY12" s="126">
        <f t="shared" si="1"/>
        <v>1928</v>
      </c>
      <c r="AZ12" s="127">
        <f t="shared" si="1"/>
        <v>961</v>
      </c>
      <c r="BA12" s="127">
        <f t="shared" si="1"/>
        <v>862</v>
      </c>
      <c r="BB12" s="127">
        <f t="shared" si="1"/>
        <v>2029</v>
      </c>
      <c r="BC12" s="125">
        <f>IF(ISNUMBER(X12),X12," - ")</f>
        <v>330</v>
      </c>
      <c r="BD12" s="126">
        <f t="shared" si="2"/>
        <v>0.89698231009365248</v>
      </c>
      <c r="BE12" s="127">
        <f t="shared" si="3"/>
        <v>2.3538283062645013</v>
      </c>
      <c r="BF12" s="127">
        <f t="shared" si="4"/>
        <v>0.38283062645011601</v>
      </c>
      <c r="BG12" s="196">
        <f t="shared" si="5"/>
        <v>3.351508120649652</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2196</v>
      </c>
      <c r="J13" s="184">
        <f t="shared" si="6"/>
        <v>1613</v>
      </c>
      <c r="K13" s="184">
        <f t="shared" si="6"/>
        <v>1020</v>
      </c>
      <c r="L13" s="184">
        <f t="shared" si="6"/>
        <v>2792</v>
      </c>
      <c r="M13" s="184">
        <f t="shared" si="6"/>
        <v>224</v>
      </c>
      <c r="N13" s="184">
        <f t="shared" si="6"/>
        <v>337</v>
      </c>
      <c r="O13" s="184">
        <f t="shared" si="6"/>
        <v>521</v>
      </c>
      <c r="P13" s="184">
        <f t="shared" si="6"/>
        <v>198</v>
      </c>
      <c r="Q13" s="184">
        <f t="shared" si="6"/>
        <v>146</v>
      </c>
      <c r="R13" s="184">
        <f t="shared" si="6"/>
        <v>3950</v>
      </c>
      <c r="S13" s="184">
        <f t="shared" si="6"/>
        <v>1811</v>
      </c>
      <c r="T13" s="184">
        <f t="shared" si="6"/>
        <v>848</v>
      </c>
      <c r="U13" s="184">
        <f t="shared" si="6"/>
        <v>764</v>
      </c>
      <c r="V13" s="184">
        <f t="shared" si="6"/>
        <v>1897</v>
      </c>
      <c r="W13" s="184">
        <f t="shared" si="6"/>
        <v>193</v>
      </c>
      <c r="X13" s="184">
        <f t="shared" si="6"/>
        <v>330</v>
      </c>
      <c r="Y13" s="184">
        <f t="shared" si="6"/>
        <v>207</v>
      </c>
      <c r="Z13" s="184">
        <f t="shared" si="6"/>
        <v>111</v>
      </c>
      <c r="AA13" s="184">
        <f t="shared" si="6"/>
        <v>107</v>
      </c>
      <c r="AB13" s="184">
        <f t="shared" si="6"/>
        <v>211</v>
      </c>
      <c r="AC13" s="184">
        <f t="shared" si="6"/>
        <v>0</v>
      </c>
      <c r="AD13" s="184">
        <f t="shared" si="6"/>
        <v>0</v>
      </c>
      <c r="AE13" s="184">
        <f t="shared" si="6"/>
        <v>0</v>
      </c>
      <c r="AF13" s="184">
        <f>SUBTOTAL(9,AF9:AF12)</f>
        <v>0</v>
      </c>
      <c r="AG13" s="184">
        <f t="shared" ref="AG13:AT13" si="7">SUBTOTAL(9,AG8:AG12)</f>
        <v>127</v>
      </c>
      <c r="AH13" s="184">
        <f t="shared" si="7"/>
        <v>114</v>
      </c>
      <c r="AI13" s="184">
        <f t="shared" si="7"/>
        <v>102</v>
      </c>
      <c r="AJ13" s="184">
        <f t="shared" si="7"/>
        <v>139</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1938</v>
      </c>
      <c r="AZ13" s="184">
        <f>SUBTOTAL(9,AZ8:AZ12)</f>
        <v>962</v>
      </c>
      <c r="BA13" s="184">
        <f>SUBTOTAL(9,BA8:BA12)</f>
        <v>866</v>
      </c>
      <c r="BB13" s="184">
        <f>SUBTOTAL(9,BB8:BB12)</f>
        <v>2036</v>
      </c>
      <c r="BC13" s="184">
        <f>SUBTOTAL(9,BC8:BC12)</f>
        <v>334</v>
      </c>
      <c r="BD13" s="205">
        <f>IF(ISNUMBER(BA13/AZ13),BA13/AZ13," - ")</f>
        <v>0.9002079002079002</v>
      </c>
      <c r="BE13" s="206">
        <f>IF(ISNUMBER(BB13/BA13),BB13/BA13, " - ")</f>
        <v>2.3510392609699768</v>
      </c>
      <c r="BF13" s="206">
        <f>IF(ISNUMBER(BC13/BA13),BC13/BA13, " - ")</f>
        <v>0.38568129330254042</v>
      </c>
      <c r="BG13" s="207">
        <f>IF(ISNUMBER((AY13+AZ13)/BA13),(AY13+AZ13)/BA13," - ")</f>
        <v>3.3487297921478061</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1620</v>
      </c>
      <c r="J16" s="183">
        <v>1056</v>
      </c>
      <c r="K16" s="183">
        <v>983</v>
      </c>
      <c r="L16" s="183">
        <v>1693</v>
      </c>
      <c r="M16" s="183">
        <v>199</v>
      </c>
      <c r="N16" s="183">
        <v>543</v>
      </c>
      <c r="O16" s="181">
        <v>13</v>
      </c>
      <c r="P16" s="183">
        <v>28</v>
      </c>
      <c r="Q16" s="183">
        <v>22</v>
      </c>
      <c r="R16" s="183">
        <v>167</v>
      </c>
      <c r="S16" s="183">
        <v>1379</v>
      </c>
      <c r="T16" s="183">
        <v>786</v>
      </c>
      <c r="U16" s="183">
        <v>764</v>
      </c>
      <c r="V16" s="183">
        <v>1401</v>
      </c>
      <c r="W16" s="183">
        <v>155</v>
      </c>
      <c r="X16" s="189">
        <v>453</v>
      </c>
      <c r="Y16" s="202">
        <v>0</v>
      </c>
      <c r="Z16" s="183">
        <v>0</v>
      </c>
      <c r="AA16" s="183">
        <v>0</v>
      </c>
      <c r="AB16" s="183">
        <v>0</v>
      </c>
      <c r="AC16" s="183">
        <v>6</v>
      </c>
      <c r="AD16" s="183">
        <v>11</v>
      </c>
      <c r="AE16" s="183">
        <v>7</v>
      </c>
      <c r="AF16" s="189">
        <v>10</v>
      </c>
      <c r="AG16" s="202">
        <v>0</v>
      </c>
      <c r="AH16" s="183">
        <v>0</v>
      </c>
      <c r="AI16" s="183">
        <v>0</v>
      </c>
      <c r="AJ16" s="203">
        <v>0</v>
      </c>
      <c r="AK16" s="182">
        <v>3</v>
      </c>
      <c r="AL16" s="183">
        <v>15</v>
      </c>
      <c r="AM16" s="183">
        <v>4</v>
      </c>
      <c r="AN16" s="189">
        <v>14</v>
      </c>
      <c r="AO16" s="259">
        <v>4</v>
      </c>
      <c r="AP16" s="155">
        <v>4</v>
      </c>
      <c r="AQ16" s="155">
        <v>4</v>
      </c>
      <c r="AR16" s="155">
        <v>4</v>
      </c>
      <c r="AS16" s="340" t="s">
        <v>487</v>
      </c>
      <c r="AT16" s="203"/>
      <c r="AU16" s="202"/>
      <c r="AV16" s="203"/>
      <c r="AW16" s="202"/>
      <c r="AX16" s="203"/>
      <c r="AY16" s="126">
        <f t="shared" si="9"/>
        <v>1379</v>
      </c>
      <c r="AZ16" s="127">
        <f t="shared" si="9"/>
        <v>786</v>
      </c>
      <c r="BA16" s="127">
        <f t="shared" si="9"/>
        <v>764</v>
      </c>
      <c r="BB16" s="127">
        <f t="shared" si="9"/>
        <v>1401</v>
      </c>
      <c r="BC16" s="125">
        <f>IF(ISNUMBER(W16),W16," - ")</f>
        <v>155</v>
      </c>
      <c r="BD16" s="126">
        <f t="shared" ref="BD16" si="11">IF(ISNUMBER(BA16/AZ16),BA16/AZ16," - ")</f>
        <v>0.97201017811704837</v>
      </c>
      <c r="BE16" s="127">
        <f t="shared" ref="BE16" si="12">IF(ISNUMBER(BB16/BA16),BB16/BA16, " - ")</f>
        <v>1.8337696335078535</v>
      </c>
      <c r="BF16" s="127">
        <f t="shared" ref="BF16" si="13">IF(ISNUMBER(BC16/BA16),BC16/BA16, " - ")</f>
        <v>0.20287958115183247</v>
      </c>
      <c r="BG16" s="196">
        <f t="shared" si="10"/>
        <v>2.8337696335078535</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18</v>
      </c>
      <c r="J17" s="183">
        <v>9</v>
      </c>
      <c r="K17" s="183">
        <v>12</v>
      </c>
      <c r="L17" s="183">
        <v>15</v>
      </c>
      <c r="M17" s="183">
        <v>1</v>
      </c>
      <c r="N17" s="183">
        <v>12</v>
      </c>
      <c r="O17" s="183">
        <v>0</v>
      </c>
      <c r="P17" s="183">
        <v>0</v>
      </c>
      <c r="Q17" s="183">
        <v>0</v>
      </c>
      <c r="R17" s="183">
        <v>2</v>
      </c>
      <c r="S17" s="183">
        <v>29</v>
      </c>
      <c r="T17" s="183">
        <v>0</v>
      </c>
      <c r="U17" s="183">
        <v>9</v>
      </c>
      <c r="V17" s="183">
        <v>20</v>
      </c>
      <c r="W17" s="183">
        <v>3</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29</v>
      </c>
      <c r="AZ17" s="129">
        <f t="shared" si="14"/>
        <v>0</v>
      </c>
      <c r="BA17" s="129">
        <f t="shared" si="14"/>
        <v>9</v>
      </c>
      <c r="BB17" s="129">
        <f t="shared" si="14"/>
        <v>20</v>
      </c>
      <c r="BC17" s="125">
        <f>IF(ISNUMBER(W17),W17," - ")</f>
        <v>3</v>
      </c>
      <c r="BD17" s="126" t="str">
        <f>IF(ISNUMBER(BA17/AZ17),BA17/AZ17," - ")</f>
        <v xml:space="preserve"> - </v>
      </c>
      <c r="BE17" s="127">
        <f>IF(ISNUMBER(BB17/BA17),BB17/BA17, " - ")</f>
        <v>2.2222222222222223</v>
      </c>
      <c r="BF17" s="127">
        <f>IF(ISNUMBER(BC17/BA17),BC17/BA17, " - ")</f>
        <v>0.33333333333333331</v>
      </c>
      <c r="BG17" s="196">
        <f>IF(ISNUMBER((AY17+AZ17)/BA17),(AY17+AZ17)/BA17," - ")</f>
        <v>3.2222222222222223</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1638</v>
      </c>
      <c r="J18" s="184">
        <f t="shared" si="15"/>
        <v>1065</v>
      </c>
      <c r="K18" s="184">
        <f t="shared" si="15"/>
        <v>995</v>
      </c>
      <c r="L18" s="184">
        <f t="shared" si="15"/>
        <v>1708</v>
      </c>
      <c r="M18" s="184">
        <f t="shared" si="15"/>
        <v>200</v>
      </c>
      <c r="N18" s="184">
        <f t="shared" si="15"/>
        <v>555</v>
      </c>
      <c r="O18" s="184">
        <f t="shared" si="15"/>
        <v>13</v>
      </c>
      <c r="P18" s="184">
        <f t="shared" si="15"/>
        <v>28</v>
      </c>
      <c r="Q18" s="184">
        <f t="shared" si="15"/>
        <v>22</v>
      </c>
      <c r="R18" s="184">
        <f t="shared" si="15"/>
        <v>169</v>
      </c>
      <c r="S18" s="184">
        <f t="shared" si="15"/>
        <v>1408</v>
      </c>
      <c r="T18" s="184">
        <f t="shared" si="15"/>
        <v>786</v>
      </c>
      <c r="U18" s="184">
        <f t="shared" si="15"/>
        <v>773</v>
      </c>
      <c r="V18" s="184">
        <f t="shared" si="15"/>
        <v>1421</v>
      </c>
      <c r="W18" s="184">
        <f t="shared" si="15"/>
        <v>158</v>
      </c>
      <c r="X18" s="184">
        <f t="shared" si="15"/>
        <v>456</v>
      </c>
      <c r="Y18" s="184">
        <f t="shared" si="15"/>
        <v>0</v>
      </c>
      <c r="Z18" s="184">
        <f t="shared" si="15"/>
        <v>0</v>
      </c>
      <c r="AA18" s="184">
        <f t="shared" si="15"/>
        <v>0</v>
      </c>
      <c r="AB18" s="184">
        <f t="shared" si="15"/>
        <v>0</v>
      </c>
      <c r="AC18" s="184">
        <f t="shared" si="15"/>
        <v>6</v>
      </c>
      <c r="AD18" s="184">
        <f t="shared" si="15"/>
        <v>11</v>
      </c>
      <c r="AE18" s="184">
        <f t="shared" si="15"/>
        <v>7</v>
      </c>
      <c r="AF18" s="184">
        <f t="shared" si="15"/>
        <v>10</v>
      </c>
      <c r="AG18" s="184">
        <f t="shared" si="15"/>
        <v>0</v>
      </c>
      <c r="AH18" s="184">
        <f t="shared" si="15"/>
        <v>0</v>
      </c>
      <c r="AI18" s="184">
        <f t="shared" si="15"/>
        <v>0</v>
      </c>
      <c r="AJ18" s="184">
        <f t="shared" si="15"/>
        <v>0</v>
      </c>
      <c r="AK18" s="184">
        <f t="shared" si="15"/>
        <v>3</v>
      </c>
      <c r="AL18" s="184">
        <f t="shared" si="15"/>
        <v>15</v>
      </c>
      <c r="AM18" s="184">
        <f t="shared" si="15"/>
        <v>4</v>
      </c>
      <c r="AN18" s="184">
        <f t="shared" si="15"/>
        <v>14</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1408</v>
      </c>
      <c r="AZ18" s="184">
        <f>SUBTOTAL(9,AZ14:AZ17)</f>
        <v>786</v>
      </c>
      <c r="BA18" s="184">
        <f>SUBTOTAL(9,BA14:BA17)</f>
        <v>773</v>
      </c>
      <c r="BB18" s="184">
        <f>SUBTOTAL(9,BB14:BB17)</f>
        <v>1421</v>
      </c>
      <c r="BC18" s="184">
        <f>SUBTOTAL(9,BC14:BC17)</f>
        <v>158</v>
      </c>
      <c r="BD18" s="205">
        <f>IF(ISNUMBER(BA18/AZ18),BA18/AZ18," - ")</f>
        <v>0.98346055979643765</v>
      </c>
      <c r="BE18" s="206">
        <f>IF(ISNUMBER(BB18/BA18),BB18/BA18, " - ")</f>
        <v>1.8382923673997413</v>
      </c>
      <c r="BF18" s="206">
        <f>IF(ISNUMBER(BC18/BA18),BC18/BA18, " - ")</f>
        <v>0.20439844760672704</v>
      </c>
      <c r="BG18" s="207">
        <f>IF(ISNUMBER((AY18+AZ18)/BA18),(AY18+AZ18)/BA18," - ")</f>
        <v>2.8382923673997413</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3834</v>
      </c>
      <c r="J19" s="134">
        <f t="shared" si="18"/>
        <v>2678</v>
      </c>
      <c r="K19" s="134">
        <f t="shared" si="18"/>
        <v>2015</v>
      </c>
      <c r="L19" s="134">
        <f t="shared" si="18"/>
        <v>4500</v>
      </c>
      <c r="M19" s="134">
        <f t="shared" si="18"/>
        <v>424</v>
      </c>
      <c r="N19" s="134">
        <f t="shared" si="18"/>
        <v>892</v>
      </c>
      <c r="O19" s="134">
        <f t="shared" si="18"/>
        <v>534</v>
      </c>
      <c r="P19" s="134">
        <f t="shared" si="18"/>
        <v>226</v>
      </c>
      <c r="Q19" s="134">
        <f t="shared" si="18"/>
        <v>168</v>
      </c>
      <c r="R19" s="134">
        <f t="shared" si="18"/>
        <v>4119</v>
      </c>
      <c r="S19" s="134">
        <f t="shared" si="18"/>
        <v>3219</v>
      </c>
      <c r="T19" s="134">
        <f t="shared" si="18"/>
        <v>1634</v>
      </c>
      <c r="U19" s="134">
        <f t="shared" si="18"/>
        <v>1537</v>
      </c>
      <c r="V19" s="134">
        <f t="shared" si="18"/>
        <v>3318</v>
      </c>
      <c r="W19" s="134">
        <f t="shared" si="18"/>
        <v>351</v>
      </c>
      <c r="X19" s="134">
        <f t="shared" si="18"/>
        <v>786</v>
      </c>
      <c r="Y19" s="134">
        <f t="shared" si="18"/>
        <v>207</v>
      </c>
      <c r="Z19" s="134">
        <f t="shared" si="18"/>
        <v>111</v>
      </c>
      <c r="AA19" s="134">
        <f t="shared" si="18"/>
        <v>107</v>
      </c>
      <c r="AB19" s="134">
        <f t="shared" si="18"/>
        <v>211</v>
      </c>
      <c r="AC19" s="134">
        <f t="shared" si="18"/>
        <v>6</v>
      </c>
      <c r="AD19" s="134">
        <f t="shared" si="18"/>
        <v>11</v>
      </c>
      <c r="AE19" s="134">
        <f t="shared" si="18"/>
        <v>7</v>
      </c>
      <c r="AF19" s="134">
        <f t="shared" si="18"/>
        <v>10</v>
      </c>
      <c r="AG19" s="134">
        <f t="shared" si="18"/>
        <v>127</v>
      </c>
      <c r="AH19" s="134">
        <f t="shared" si="18"/>
        <v>114</v>
      </c>
      <c r="AI19" s="134">
        <f t="shared" si="18"/>
        <v>102</v>
      </c>
      <c r="AJ19" s="134">
        <f t="shared" si="18"/>
        <v>139</v>
      </c>
      <c r="AK19" s="134">
        <f t="shared" si="18"/>
        <v>3</v>
      </c>
      <c r="AL19" s="134">
        <f t="shared" si="18"/>
        <v>15</v>
      </c>
      <c r="AM19" s="134">
        <f t="shared" si="18"/>
        <v>4</v>
      </c>
      <c r="AN19" s="210">
        <f t="shared" si="18"/>
        <v>14</v>
      </c>
      <c r="AO19" s="211">
        <v>5</v>
      </c>
      <c r="AP19" s="211">
        <v>4</v>
      </c>
      <c r="AQ19" s="211">
        <v>4</v>
      </c>
      <c r="AR19" s="211">
        <v>4</v>
      </c>
      <c r="AS19" s="153">
        <f t="shared" si="18"/>
        <v>0</v>
      </c>
      <c r="AT19" s="153">
        <f t="shared" si="18"/>
        <v>0</v>
      </c>
      <c r="AU19" s="211"/>
      <c r="AV19" s="212"/>
      <c r="AW19" s="211"/>
      <c r="AX19" s="212"/>
      <c r="AY19" s="133">
        <f>SUBTOTAL(9,AY9:AY18)</f>
        <v>3346</v>
      </c>
      <c r="AZ19" s="134">
        <f>SUBTOTAL(9,AZ9:AZ18)</f>
        <v>1748</v>
      </c>
      <c r="BA19" s="134">
        <f>SUBTOTAL(9,BA9:BA18)</f>
        <v>1639</v>
      </c>
      <c r="BB19" s="134">
        <f>SUBTOTAL(9,BB9:BB18)</f>
        <v>3457</v>
      </c>
      <c r="BC19" s="135">
        <f>SUBTOTAL(9,BC9:BC18)</f>
        <v>492</v>
      </c>
      <c r="BD19" s="213">
        <f>IF(ISNUMBER(BA19/AZ19),BA19/AZ19," - ")</f>
        <v>0.93764302059496563</v>
      </c>
      <c r="BE19" s="210">
        <f>IF(ISNUMBER(BB19/BA19),BB19/BA19, " - ")</f>
        <v>2.1092129347162905</v>
      </c>
      <c r="BF19" s="210">
        <f>IF(ISNUMBER(BC19/BA19),BC19/BA19, " - ")</f>
        <v>0.30018303843807198</v>
      </c>
      <c r="BG19" s="135">
        <f>IF(ISNUMBER((AY19+AZ19)/BA19),(AY19+AZ19)/BA19," - ")</f>
        <v>3.1079926784624772</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VE2QVFm2kt0Ck913za64Z2lv9oeCKUoG0XPQVKDsIvgGfzaEA1aqKtXj3zw2bxU9RZQu0qtHtL3b62yFj9tFA==" saltValue="gV2LaFEcNyEneJGgvGL3W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cOtpwFj5SmOJpVPWsujsgI6rajYEIyM5M1W/WMC7oc3xZlgXjc/S5GphRMtzvT6Mqc0aFR7qykWwXMw0A1cGw==" saltValue="iNLOkJQ8ZWUn6avgU0jGS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XATIVA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13</v>
      </c>
      <c r="G10" s="333">
        <f>IF(ISNUMBER(Datos!I10),Datos!I10," - ")</f>
        <v>13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1</v>
      </c>
      <c r="AD10" s="334"/>
      <c r="AE10" s="484"/>
      <c r="AF10" s="332">
        <f>IF(ISNUMBER(Datos!L10),Datos!L10,"-")</f>
        <v>12</v>
      </c>
      <c r="AG10" s="334"/>
      <c r="AH10" s="334"/>
      <c r="AI10" s="334"/>
      <c r="AJ10" s="334"/>
      <c r="AK10" s="334"/>
      <c r="AL10" s="479"/>
      <c r="AM10" s="335">
        <f>IF(ISNUMBER(Datos!R10),Datos!R10," - ")</f>
        <v>21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18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-4.5454545454545456E-2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111</v>
      </c>
      <c r="O12" s="334"/>
      <c r="P12" s="334"/>
      <c r="Q12" s="226">
        <f>IF(ISNUMBER(Datos!P12),Datos!P12,0)</f>
        <v>198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211</v>
      </c>
      <c r="AI12" s="334" t="str">
        <f>IF(ISNUMBER(Datos!CD12),Datos!CD12,"-")</f>
        <v>-</v>
      </c>
      <c r="AJ12" s="334" t="str">
        <f>IF(ISNUMBER(Datos!EN12),Datos!EN12," - ")</f>
        <v xml:space="preserve"> - </v>
      </c>
      <c r="AK12" s="334"/>
      <c r="AL12" s="479"/>
      <c r="AM12" s="335">
        <f>IF(ISNUMBER(Datos!R12),Datos!R12," - ")</f>
        <v>3929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222</v>
      </c>
      <c r="BD12" s="229">
        <f>IF(ISNUMBER(Datos!N12),Datos!N12," - ")</f>
        <v>337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0.65293093441671501</v>
      </c>
      <c r="BH12" s="260">
        <f>IF(ISNUMBER(((IF(J_V="SI",Datos!L12/Datos!K12,(Datos!L12+Datos!AB12)/(Datos!K12+Datos!AA12)))*11)/factor_trimestre),((IF(J_V="SI",Datos!L12/Datos!K12,(Datos!L12+Datos!AB12)/(Datos!K12+Datos!AA12)))*11)/factor_trimestre," - ")</f>
        <v>7.976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1.3673890608875128E-2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13</v>
      </c>
      <c r="G13" s="898">
        <f t="shared" si="0"/>
        <v>13</v>
      </c>
      <c r="H13" s="899">
        <f t="shared" si="0"/>
        <v>0</v>
      </c>
      <c r="I13" s="898">
        <f t="shared" si="0"/>
        <v>0</v>
      </c>
      <c r="J13" s="867">
        <f t="shared" si="0"/>
        <v>0</v>
      </c>
      <c r="K13" s="867">
        <f t="shared" si="0"/>
        <v>0</v>
      </c>
      <c r="L13" s="899">
        <f t="shared" si="0"/>
        <v>0</v>
      </c>
      <c r="M13" s="899">
        <f t="shared" si="0"/>
        <v>0</v>
      </c>
      <c r="N13" s="899">
        <f t="shared" si="0"/>
        <v>111</v>
      </c>
      <c r="O13" s="900">
        <f t="shared" si="0"/>
        <v>0</v>
      </c>
      <c r="P13" s="900">
        <f t="shared" si="0"/>
        <v>0</v>
      </c>
      <c r="Q13" s="899">
        <f t="shared" si="0"/>
        <v>198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146</v>
      </c>
      <c r="AD13" s="899">
        <f t="shared" si="1"/>
        <v>0</v>
      </c>
      <c r="AE13" s="899">
        <f t="shared" si="1"/>
        <v>0</v>
      </c>
      <c r="AF13" s="899">
        <f t="shared" si="1"/>
        <v>12</v>
      </c>
      <c r="AG13" s="899">
        <f t="shared" si="1"/>
        <v>0</v>
      </c>
      <c r="AH13" s="899">
        <f t="shared" si="1"/>
        <v>211</v>
      </c>
      <c r="AI13" s="899">
        <f t="shared" si="1"/>
        <v>0</v>
      </c>
      <c r="AJ13" s="899">
        <f t="shared" si="1"/>
        <v>0</v>
      </c>
      <c r="AK13" s="899">
        <f t="shared" si="1"/>
        <v>0</v>
      </c>
      <c r="AL13" s="899">
        <f t="shared" si="1"/>
        <v>0</v>
      </c>
      <c r="AM13" s="899">
        <f t="shared" si="1"/>
        <v>3950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224</v>
      </c>
      <c r="BD13" s="899">
        <f t="shared" si="1"/>
        <v>337</v>
      </c>
      <c r="BE13" s="899">
        <f t="shared" si="1"/>
        <v>0</v>
      </c>
      <c r="BF13" s="899">
        <f t="shared" si="1"/>
        <v>0</v>
      </c>
      <c r="BG13" s="899">
        <f>IF(ISNUMBER(Datos!K13/Datos!J13),Datos!K13/Datos!J13," - ")</f>
        <v>0.63236205827650338</v>
      </c>
      <c r="BH13" s="903">
        <f>IF(ISNUMBER(((Datos!L13/Datos!K13)*11)/factor_trimestre),((Datos!L13/Datos!K13)*11)/factor_trimestre," - ")</f>
        <v>8.211764705882354</v>
      </c>
      <c r="BI13" s="899">
        <f>IF(ISNUMBER('Resol  Asuntos'!D13/NºAsuntos!G13),'Resol  Asuntos'!D13/NºAsuntos!G13," - ")</f>
        <v>0.19875776397515527</v>
      </c>
      <c r="BJ13" s="899" t="str">
        <f>IF(ISNUMBER(Datos!CI13/Datos!CJ13),Datos!CI13/Datos!CJ13," - ")</f>
        <v xml:space="preserve"> - </v>
      </c>
      <c r="BK13" s="899">
        <f>SUBTOTAL(9,BK8:BK12)</f>
        <v>0</v>
      </c>
      <c r="BL13" s="899">
        <f>IF(ISNUMBER((I13-AB13+L13)/(F13)),(I13-AB13+L13)/(F13)," - ")</f>
        <v>-0.15384615384615385</v>
      </c>
      <c r="BM13" s="904">
        <f>SUBTOTAL(9,BM9:BM12)</f>
        <v>-3.1780654845670331E-2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1620</v>
      </c>
      <c r="G16" s="598">
        <f>IF(ISNUMBER(IF(D_I="SI",Datos!I16,Datos!I16+Datos!AC16)),IF(D_I="SI",Datos!I16,Datos!I16+Datos!AC16)," - ")</f>
        <v>1620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983</v>
      </c>
      <c r="AC16" s="226">
        <f>IF(ISNUMBER(Datos!Q16),Datos!Q16," - ")</f>
        <v>22</v>
      </c>
      <c r="AD16" s="334"/>
      <c r="AE16" s="484"/>
      <c r="AF16" s="596">
        <f>IF(ISNUMBER(IF(D_I="SI",Datos!L16,Datos!L16+Datos!AF16)),IF(D_I="SI",Datos!L16,Datos!L16+Datos!AF16)," - ")</f>
        <v>1693</v>
      </c>
      <c r="AG16" s="334"/>
      <c r="AH16" s="334"/>
      <c r="AI16" s="334"/>
      <c r="AJ16" s="334"/>
      <c r="AK16" s="334"/>
      <c r="AL16" s="479"/>
      <c r="AM16" s="335">
        <f>IF(ISNUMBER(Datos!R16),Datos!R16," - ")</f>
        <v>167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199</v>
      </c>
      <c r="BD16" s="229">
        <f>IF(ISNUMBER(Datos!N16),Datos!N16," - ")</f>
        <v>543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0.93087121212121215</v>
      </c>
      <c r="BH16" s="260">
        <f>IF(ISNUMBER(((IF(D_I="SI",Datos!L16/Datos!K16,(Datos!L16+Datos!AF16)/(Datos!K16+Datos!AE16)))*11)/factor_trimestre),((IF(D_I="SI",Datos!L16/Datos!K16,(Datos!L16+Datos!AF16)/(Datos!K16+Datos!AE16)))*11)/factor_trimestre," - ")</f>
        <v>5.1668362156663274</v>
      </c>
      <c r="BI16" s="243">
        <f>IF(ISNUMBER('Resol  Asuntos'!D16/NºAsuntos!G16),'Resol  Asuntos'!D16/NºAsuntos!G16," - ")</f>
        <v>0.20244150559511698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v>
      </c>
      <c r="AC17" s="226">
        <f>IF(ISNUMBER(Datos!Q17),Datos!Q17," - ")</f>
        <v>0</v>
      </c>
      <c r="AD17" s="334"/>
      <c r="AE17" s="484"/>
      <c r="AF17" s="332">
        <f>IF(ISNUMBER(Datos!L17),Datos!L17,"-")</f>
        <v>15</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1.3333333333333333</v>
      </c>
      <c r="BH17" s="260">
        <f>IF(ISNUMBER(((IF(D_I="SI",Datos!L17/Datos!K17,(Datos!L17+Datos!AF17)/(Datos!K17+Datos!AE17)))*11)/factor_trimestre),((IF(D_I="SI",Datos!L17/Datos!K17,(Datos!L17+Datos!AF17)/(Datos!K17+Datos!AE17)))*11)/factor_trimestre," - ")</f>
        <v>3.75</v>
      </c>
      <c r="BI17" s="243">
        <f>IF(ISNUMBER('Resol  Asuntos'!D17/NºAsuntos!G17),'Resol  Asuntos'!D17/NºAsuntos!G17," - ")</f>
        <v>8.3333333333333329E-2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1620</v>
      </c>
      <c r="G18" s="898">
        <f>SUBTOTAL(9,G15:G17)</f>
        <v>1638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995</v>
      </c>
      <c r="AC18" s="899">
        <f t="shared" si="4"/>
        <v>22</v>
      </c>
      <c r="AD18" s="899">
        <f t="shared" si="4"/>
        <v>0</v>
      </c>
      <c r="AE18" s="899">
        <f t="shared" si="4"/>
        <v>0</v>
      </c>
      <c r="AF18" s="899">
        <f t="shared" si="4"/>
        <v>1708</v>
      </c>
      <c r="AG18" s="899">
        <f t="shared" si="4"/>
        <v>0</v>
      </c>
      <c r="AH18" s="899">
        <f t="shared" si="4"/>
        <v>0</v>
      </c>
      <c r="AI18" s="899">
        <f t="shared" si="4"/>
        <v>0</v>
      </c>
      <c r="AJ18" s="899">
        <f t="shared" si="4"/>
        <v>0</v>
      </c>
      <c r="AK18" s="899">
        <f t="shared" si="4"/>
        <v>0</v>
      </c>
      <c r="AL18" s="899">
        <f t="shared" si="4"/>
        <v>0</v>
      </c>
      <c r="AM18" s="899">
        <f t="shared" si="4"/>
        <v>169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200</v>
      </c>
      <c r="BD18" s="899">
        <f t="shared" si="4"/>
        <v>555</v>
      </c>
      <c r="BE18" s="899">
        <f t="shared" si="4"/>
        <v>0</v>
      </c>
      <c r="BF18" s="899">
        <f t="shared" si="4"/>
        <v>0</v>
      </c>
      <c r="BG18" s="899">
        <f>IF(ISNUMBER(Datos!K18/Datos!J18),Datos!K18/Datos!J18," - ")</f>
        <v>0.93427230046948362</v>
      </c>
      <c r="BH18" s="903">
        <f>IF(ISNUMBER(((Datos!L18/Datos!K18)*11)/factor_trimestre),((Datos!L18/Datos!K18)*11)/factor_trimestre," - ")</f>
        <v>5.1497487437185931</v>
      </c>
      <c r="BI18" s="899">
        <f>SUBTOTAL(9,BI15:BI17)</f>
        <v>0.28577483892845029</v>
      </c>
      <c r="BJ18" s="899">
        <f>SUBTOTAL(9,BJ15:BJ17)</f>
        <v>0</v>
      </c>
      <c r="BK18" s="899">
        <f>SUBTOTAL(9,BK15:BK17)</f>
        <v>0</v>
      </c>
      <c r="BL18" s="899">
        <f>IF(ISNUMBER((I18-AB18+L18)/(F18)),(I18-AB18+L18)/(F18)," - ")</f>
        <v>-0.61419753086419748</v>
      </c>
      <c r="BM18" s="905">
        <f>IF(ISNUMBER((Datos!P18-Datos!Q18)/(Datos!R18-Datos!P18+Datos!Q18)),(Datos!P18-Datos!Q18)/(Datos!R18-Datos!P18+Datos!Q18)," - ")</f>
        <v>3.6809815950920248E-2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1633</v>
      </c>
      <c r="G19" s="820">
        <f t="shared" si="6"/>
        <v>1651</v>
      </c>
      <c r="H19" s="822">
        <f t="shared" si="6"/>
        <v>0</v>
      </c>
      <c r="I19" s="820">
        <f t="shared" si="6"/>
        <v>0</v>
      </c>
      <c r="J19" s="822">
        <f t="shared" si="6"/>
        <v>0</v>
      </c>
      <c r="K19" s="822">
        <f t="shared" si="6"/>
        <v>0</v>
      </c>
      <c r="L19" s="881">
        <f t="shared" si="6"/>
        <v>0</v>
      </c>
      <c r="M19" s="881">
        <f t="shared" si="6"/>
        <v>0</v>
      </c>
      <c r="N19" s="881">
        <f t="shared" si="6"/>
        <v>111</v>
      </c>
      <c r="O19" s="881">
        <f t="shared" si="6"/>
        <v>0</v>
      </c>
      <c r="P19" s="881">
        <f t="shared" si="6"/>
        <v>0</v>
      </c>
      <c r="Q19" s="822">
        <f t="shared" si="6"/>
        <v>226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997</v>
      </c>
      <c r="AC19" s="821">
        <f t="shared" si="7"/>
        <v>168</v>
      </c>
      <c r="AD19" s="821">
        <f t="shared" si="7"/>
        <v>0</v>
      </c>
      <c r="AE19" s="821">
        <f t="shared" si="7"/>
        <v>0</v>
      </c>
      <c r="AF19" s="828">
        <f t="shared" si="7"/>
        <v>1720</v>
      </c>
      <c r="AG19" s="828">
        <f t="shared" si="7"/>
        <v>0</v>
      </c>
      <c r="AH19" s="828">
        <f t="shared" si="7"/>
        <v>211</v>
      </c>
      <c r="AI19" s="828">
        <f t="shared" si="7"/>
        <v>0</v>
      </c>
      <c r="AJ19" s="821">
        <f t="shared" si="7"/>
        <v>0</v>
      </c>
      <c r="AK19" s="828">
        <f t="shared" si="7"/>
        <v>0</v>
      </c>
      <c r="AL19" s="828">
        <f t="shared" si="7"/>
        <v>0</v>
      </c>
      <c r="AM19" s="828">
        <f t="shared" si="7"/>
        <v>4119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424</v>
      </c>
      <c r="BD19" s="820">
        <f t="shared" si="7"/>
        <v>892</v>
      </c>
      <c r="BE19" s="820">
        <f t="shared" si="7"/>
        <v>0</v>
      </c>
      <c r="BF19" s="830">
        <f t="shared" si="7"/>
        <v>0</v>
      </c>
      <c r="BG19" s="915">
        <f>IF(ISNUMBER(Datos!K19/Datos!J19),Datos!K19/Datos!J19," - ")</f>
        <v>0.75242718446601942</v>
      </c>
      <c r="BH19" s="915">
        <f>IF(ISNUMBER(((Datos!L19/Datos!K19)*11)/factor_trimestre),((Datos!L19/Datos!K19)*11)/factor_trimestre," - ")</f>
        <v>6.6997518610421842</v>
      </c>
      <c r="BI19" s="813">
        <f>IF(ISNUMBER(Datos!J19/Datos!I19),Datos!J19/Datos!I19," - ")</f>
        <v>0.69848721961398019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-0.61053276178811999</v>
      </c>
      <c r="BM19" s="889">
        <f>IF(ISNUMBER((Datos!P19-Datos!Q19+R19)/(Datos!R19-Datos!P19+Datos!Q19-R19)),(Datos!P19-Datos!Q19+R19)/(Datos!R19-Datos!P19+Datos!Q19-R19)," - ")</f>
        <v>1.4282196503324305E-2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660.4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927.80188258772864</v>
      </c>
      <c r="G21" s="552">
        <f>IF(ISNUMBER(STDEV(G8:G18)),STDEV(G8:G18),"-")</f>
        <v>884.23203968189262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538.80859310148355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108.82585477112811</v>
      </c>
      <c r="BD21" s="551"/>
      <c r="BE21" s="551">
        <f>IF(ISNUMBER(STDEV(BE8:BE18)),STDEV(BE8:BE18),"-")</f>
        <v>0</v>
      </c>
      <c r="BF21" s="556">
        <f>IF(ISNUMBER(STDEV(BF8:BF18)),STDEV(BF8:BF18),"-")</f>
        <v>0</v>
      </c>
      <c r="BG21" s="775">
        <f>IF(ISNUMBER(STDEV(BG8:BG18)),STDEV(BG8:BG18),"-")</f>
        <v>0.51707235095239679</v>
      </c>
      <c r="BH21" s="776">
        <f>IF(ISNUMBER(STDEV(BH8:BH18)),STDEV(BH8:BH18),"-")</f>
        <v>5.1816577897698757</v>
      </c>
      <c r="BI21" s="249">
        <f>IF(ISNUMBER(STDEV(BI8:BI18)),STDEV(BI8:BI18),"-")</f>
        <v>8.3177573503090185E-2</v>
      </c>
      <c r="BJ21" s="230" t="str">
        <f>IF(ISNUMBER(BL21/BM21),BL21/BM21," - ")</f>
        <v xml:space="preserve"> - </v>
      </c>
      <c r="BK21" s="575"/>
      <c r="BL21" s="559">
        <f>IF(ISNUMBER(STDEV(BL8:BL18)),STDEV(BL8:BL18),"-")</f>
        <v>0.32551758041802359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aNLdWDg8Vu9sMwnTo1CNqDHl5roMkJgauAEJ4RTthhxr0gAAzEqOQTZMvMmxNKWMZZ0ED/1SUgaItT7AAe74eQ==" saltValue="0kLtW4V96N2vKCcsxPvb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XATIVA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13</v>
      </c>
      <c r="G10" s="225">
        <f>IF(ISNUMBER(Datos!I10),Datos!I10," - ")</f>
        <v>13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1</v>
      </c>
      <c r="AA10" s="332">
        <f>IF(ISNUMBER(Datos!L10),Datos!L10,"-")</f>
        <v>12</v>
      </c>
      <c r="AB10" s="334"/>
      <c r="AC10" s="334"/>
      <c r="AD10" s="484"/>
      <c r="AE10" s="484">
        <f>IF(ISNUMBER(Datos!R10),Datos!R10," - ")</f>
        <v>21</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-4.5454545454545456E-2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198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145</v>
      </c>
      <c r="AA12" s="332" t="str">
        <f>IF(ISNUMBER(IF(J_V="SI",Datos!L12,Datos!L12+Datos!AB12)-IF(Monitorios="SI",Datos!CD12,0)),
                          IF(J_V="SI",Datos!L12,Datos!L12+Datos!AB12)-IF(Monitorios="SI",Datos!CD12,0),
                          " - ")</f>
        <v xml:space="preserve"> - </v>
      </c>
      <c r="AB12" s="334"/>
      <c r="AC12" s="334"/>
      <c r="AD12" s="484"/>
      <c r="AE12" s="484">
        <f>IF(ISNUMBER(Datos!R12),Datos!R12," - ")</f>
        <v>3929</v>
      </c>
      <c r="AF12" s="229" t="str">
        <f>IF(ISNUMBER(Datos!BV12),Datos!BV12," - ")</f>
        <v xml:space="preserve"> - </v>
      </c>
      <c r="AG12" s="225" t="str">
        <f>IF(ISNUMBER(Datos!DV12),Datos!DV12," - ")</f>
        <v xml:space="preserve"> - </v>
      </c>
      <c r="AH12" s="298"/>
      <c r="AI12" s="227"/>
      <c r="AJ12" s="225">
        <f>IF(ISNUMBER(Datos!M12),Datos!M12," - ")</f>
        <v>222</v>
      </c>
      <c r="AK12" s="229">
        <f>IF(ISNUMBER(Datos!N12),Datos!N12," - ")</f>
        <v>337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7.976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1.3673890608875128E-2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13</v>
      </c>
      <c r="G13" s="898">
        <f>SUBTOTAL(9,G8:G12)</f>
        <v>13</v>
      </c>
      <c r="H13" s="908"/>
      <c r="I13" s="898">
        <f t="shared" ref="I13:N13" si="0">SUBTOTAL(9,I8:I12)</f>
        <v>0</v>
      </c>
      <c r="J13" s="867">
        <f t="shared" si="0"/>
        <v>0</v>
      </c>
      <c r="K13" s="908">
        <f t="shared" si="0"/>
        <v>0</v>
      </c>
      <c r="L13" s="908">
        <f t="shared" si="0"/>
        <v>0</v>
      </c>
      <c r="M13" s="908">
        <f t="shared" si="0"/>
        <v>0</v>
      </c>
      <c r="N13" s="908">
        <f t="shared" si="0"/>
        <v>198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146</v>
      </c>
      <c r="AA13" s="900">
        <f t="shared" si="2"/>
        <v>12</v>
      </c>
      <c r="AB13" s="900">
        <f t="shared" si="2"/>
        <v>0</v>
      </c>
      <c r="AC13" s="900">
        <f t="shared" si="2"/>
        <v>0</v>
      </c>
      <c r="AD13" s="900">
        <f t="shared" si="2"/>
        <v>0</v>
      </c>
      <c r="AE13" s="900">
        <f t="shared" si="2"/>
        <v>3950</v>
      </c>
      <c r="AF13" s="908">
        <f t="shared" si="2"/>
        <v>0</v>
      </c>
      <c r="AG13" s="908">
        <f t="shared" si="2"/>
        <v>0</v>
      </c>
      <c r="AH13" s="908">
        <f t="shared" si="2"/>
        <v>0</v>
      </c>
      <c r="AI13" s="908">
        <f t="shared" si="2"/>
        <v>0</v>
      </c>
      <c r="AJ13" s="908">
        <f t="shared" si="2"/>
        <v>224</v>
      </c>
      <c r="AK13" s="908">
        <f t="shared" si="2"/>
        <v>337</v>
      </c>
      <c r="AL13" s="908">
        <f t="shared" si="2"/>
        <v>0</v>
      </c>
      <c r="AM13" s="908">
        <f t="shared" si="2"/>
        <v>0</v>
      </c>
      <c r="AN13" s="908">
        <f t="shared" si="2"/>
        <v>0</v>
      </c>
      <c r="AO13" s="904">
        <f>IF(ISNUMBER(((NºAsuntos!I13/NºAsuntos!G13)*11)/factor_trimestre),((NºAsuntos!I13/NºAsuntos!G13)*11)/factor_trimestre," - ")</f>
        <v>7.9937888198757765</v>
      </c>
      <c r="AP13" s="910" t="str">
        <f>IF(ISNUMBER(Datos!CI13/Datos!CJ13),Datos!CI13/Datos!CJ13," - ")</f>
        <v xml:space="preserve"> - </v>
      </c>
      <c r="AQ13" s="928">
        <f t="shared" ref="AQ13:AV13" si="3">SUBTOTAL(9,AQ9:AQ12)</f>
        <v>0</v>
      </c>
      <c r="AR13" s="928">
        <f t="shared" si="3"/>
        <v>-3.1780654845670331E-2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1620</v>
      </c>
      <c r="G16" s="225">
        <f>IF(ISNUMBER(IF(D_I="SI",Datos!I16,Datos!I16+Datos!AC16)),IF(D_I="SI",Datos!I16,Datos!I16+Datos!AC16)," - ")</f>
        <v>1620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983</v>
      </c>
      <c r="Z16" s="619">
        <f>IF(ISNUMBER(Datos!Q16),Datos!Q16," - ")</f>
        <v>22</v>
      </c>
      <c r="AA16" s="332">
        <f>IF(ISNUMBER(IF(D_I="SI",Datos!L16,Datos!L16+Datos!AF16)),IF(D_I="SI",Datos!L16,Datos!L16+Datos!AF16)," - ")</f>
        <v>1693</v>
      </c>
      <c r="AB16" s="334"/>
      <c r="AC16" s="334"/>
      <c r="AD16" s="484"/>
      <c r="AE16" s="484">
        <f>IF(ISNUMBER(Datos!R16),Datos!R16," - ")</f>
        <v>167</v>
      </c>
      <c r="AF16" s="229" t="str">
        <f>IF(ISNUMBER(Datos!BV16),Datos!BV16," - ")</f>
        <v xml:space="preserve"> - </v>
      </c>
      <c r="AG16" s="225"/>
      <c r="AH16" s="298"/>
      <c r="AI16" s="227"/>
      <c r="AJ16" s="225">
        <f>IF(ISNUMBER(Datos!M16),Datos!M16," - ")</f>
        <v>199</v>
      </c>
      <c r="AK16" s="229">
        <f>IF(ISNUMBER(Datos!N16),Datos!N16," - ")</f>
        <v>543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5.1668362156663274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v>
      </c>
      <c r="Z17" s="619">
        <f>IF(ISNUMBER(Datos!Q17),Datos!Q17," - ")</f>
        <v>0</v>
      </c>
      <c r="AA17" s="332">
        <f>IF(ISNUMBER(Datos!L17),Datos!L17,"-")</f>
        <v>15</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1</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1620</v>
      </c>
      <c r="G18" s="898">
        <f>SUBTOTAL(9,G15:G17)</f>
        <v>1638</v>
      </c>
      <c r="H18" s="932">
        <f>SUBTOTAL(9,H15:H17)</f>
        <v>0</v>
      </c>
      <c r="I18" s="911">
        <f>SUBTOTAL(9,I15:I17)</f>
        <v>0</v>
      </c>
      <c r="J18" s="867">
        <f>SUBTOTAL(9,J14:J17)</f>
        <v>0</v>
      </c>
      <c r="K18" s="932">
        <f t="shared" ref="K18:S18" si="4">SUBTOTAL(9,K15:K17)</f>
        <v>0</v>
      </c>
      <c r="L18" s="932">
        <f t="shared" si="4"/>
        <v>0</v>
      </c>
      <c r="M18" s="932">
        <f t="shared" si="4"/>
        <v>0</v>
      </c>
      <c r="N18" s="932">
        <f t="shared" si="4"/>
        <v>28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995</v>
      </c>
      <c r="Z18" s="932">
        <f t="shared" si="5"/>
        <v>22</v>
      </c>
      <c r="AA18" s="932">
        <f t="shared" si="5"/>
        <v>1708</v>
      </c>
      <c r="AB18" s="932">
        <f t="shared" si="5"/>
        <v>0</v>
      </c>
      <c r="AC18" s="932">
        <f t="shared" si="5"/>
        <v>0</v>
      </c>
      <c r="AD18" s="932">
        <f t="shared" si="5"/>
        <v>0</v>
      </c>
      <c r="AE18" s="932">
        <f t="shared" si="5"/>
        <v>169</v>
      </c>
      <c r="AF18" s="932">
        <f t="shared" si="5"/>
        <v>0</v>
      </c>
      <c r="AG18" s="932">
        <f t="shared" si="5"/>
        <v>0</v>
      </c>
      <c r="AH18" s="932">
        <f t="shared" si="5"/>
        <v>0</v>
      </c>
      <c r="AI18" s="932">
        <f t="shared" si="5"/>
        <v>0</v>
      </c>
      <c r="AJ18" s="932">
        <f t="shared" si="5"/>
        <v>200</v>
      </c>
      <c r="AK18" s="932">
        <f t="shared" si="5"/>
        <v>555</v>
      </c>
      <c r="AL18" s="932">
        <f t="shared" si="5"/>
        <v>0</v>
      </c>
      <c r="AM18" s="932">
        <f t="shared" si="5"/>
        <v>0</v>
      </c>
      <c r="AN18" s="932">
        <f t="shared" si="5"/>
        <v>0</v>
      </c>
      <c r="AO18" s="934">
        <f>IF(ISNUMBER(((NºAsuntos!I18/NºAsuntos!G18)*11)/factor_trimestre),((NºAsuntos!I18/NºAsuntos!G18)*11)/factor_trimestre," - ")</f>
        <v>5.1497487437185931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1633</v>
      </c>
      <c r="G19" s="820">
        <f t="shared" si="7"/>
        <v>1651</v>
      </c>
      <c r="H19" s="821">
        <f t="shared" si="7"/>
        <v>0</v>
      </c>
      <c r="I19" s="820">
        <f t="shared" si="7"/>
        <v>0</v>
      </c>
      <c r="J19" s="822">
        <f t="shared" si="7"/>
        <v>0</v>
      </c>
      <c r="K19" s="820">
        <f t="shared" si="7"/>
        <v>0</v>
      </c>
      <c r="L19" s="823">
        <f t="shared" si="7"/>
        <v>0</v>
      </c>
      <c r="M19" s="820">
        <f t="shared" si="7"/>
        <v>0</v>
      </c>
      <c r="N19" s="821">
        <f t="shared" si="7"/>
        <v>226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997</v>
      </c>
      <c r="Z19" s="827">
        <f t="shared" si="8"/>
        <v>168</v>
      </c>
      <c r="AA19" s="828">
        <f t="shared" si="8"/>
        <v>1720</v>
      </c>
      <c r="AB19" s="828">
        <f t="shared" si="8"/>
        <v>0</v>
      </c>
      <c r="AC19" s="828">
        <f t="shared" si="8"/>
        <v>0</v>
      </c>
      <c r="AD19" s="829">
        <f t="shared" si="8"/>
        <v>0</v>
      </c>
      <c r="AE19" s="829">
        <f t="shared" si="8"/>
        <v>4119</v>
      </c>
      <c r="AF19" s="830">
        <f t="shared" si="8"/>
        <v>0</v>
      </c>
      <c r="AG19" s="831">
        <f t="shared" si="8"/>
        <v>0</v>
      </c>
      <c r="AH19" s="832">
        <f t="shared" si="8"/>
        <v>0</v>
      </c>
      <c r="AI19" s="830">
        <f t="shared" si="8"/>
        <v>0</v>
      </c>
      <c r="AJ19" s="820">
        <f t="shared" si="8"/>
        <v>424</v>
      </c>
      <c r="AK19" s="820">
        <f t="shared" si="8"/>
        <v>892</v>
      </c>
      <c r="AL19" s="820">
        <f t="shared" si="8"/>
        <v>0</v>
      </c>
      <c r="AM19" s="833">
        <f t="shared" si="8"/>
        <v>0</v>
      </c>
      <c r="AN19" s="823">
        <f>IF(ISNUMBER(Datos!K19/Datos!J19),Datos!K19/Datos!J19," - ")</f>
        <v>0.75242718446601942</v>
      </c>
      <c r="AO19" s="823">
        <f>IF(ISNUMBER(FIND("06",Criterios!A8,1)),(IF(ISNUMBER(((Datos!R19/Datos!Q19)*11)/factor_trimestre),((Datos!R19/Datos!Q19)*11)/factor_trimestre," - ")),(IF(ISNUMBER(((Datos!L19/Datos!K19)*11)/factor_trimestre),((Datos!L19/Datos!K19)*11)/factor_trimestre," - ")))</f>
        <v>6.6997518610421842</v>
      </c>
      <c r="AP19" s="834" t="str">
        <f>IF(ISNUMBER(Datos!CI19/Datos!CJ19),Datos!CI19/Datos!CJ19," - ")</f>
        <v xml:space="preserve"> - </v>
      </c>
      <c r="AQ19" s="834">
        <f>IF(OR(ISNUMBER(FIND("01",Criterios!A8,1)),ISNUMBER(FIND("02",Criterios!A8,1)),ISNUMBER(FIND("03",Criterios!A8,1)),ISNUMBER(FIND("04",Criterios!A8,1))),(J19-Y19+K19)/(F19-K19),(I19-Y19+K19)/(F19-K19))</f>
        <v>-0.61053276178811999</v>
      </c>
      <c r="AR19" s="834">
        <f>IF(ISNUMBER((Datos!P19-Datos!Q19+O19)/(Datos!R19-Datos!P19+Datos!Q19-O19)),(Datos!P19-Datos!Q19+O19)/(Datos!R19-Datos!P19+Datos!Q19-O19)," - ")</f>
        <v>1.4282196503324305E-2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660.4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927.80188258772864</v>
      </c>
      <c r="G21" s="552">
        <f>IF(ISNUMBER(STDEV(G8:G18)),STDEV(G8:G18),"-")</f>
        <v>884.23203968189262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108.82585477112811</v>
      </c>
      <c r="AK21" s="252"/>
      <c r="AL21" s="252">
        <f>IF(ISNUMBER(STDEV(AL8:AL18)),STDEV(AL8:AL18),"-")</f>
        <v>0</v>
      </c>
      <c r="AM21" s="254">
        <f>IF(ISNUMBER(STDEV(AM8:AM18)),STDEV(AM8:AM18),"-")</f>
        <v>0</v>
      </c>
      <c r="AN21" s="539">
        <f>IF(ISNUMBER(STDEV(AN8:AN18)),STDEV(AN8:AN18),"-")</f>
        <v>0</v>
      </c>
      <c r="AO21" s="540">
        <f>IF(ISNUMBER(STDEV(AO8:AO18)),STDEV(AO8:AO18),"-")</f>
        <v>5.1809968794222572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T+XH9aUGIxS4dUoM07mlFd7vsKecjk+4Rm7psK/IxPJpQ58ekoroJpVl/zLG7gMF/u31Azf+BsGyNutJ+oIZyQ==" saltValue="c6Vblp2XZb/3bhX35U/t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LhgK4/Jyhm3cPTwWWJ/9GNm3u5AJ2szaHN9uCkNERINVKEuLBly7RYMdii6dW0L/n5CS3LBzk2tHRiWAgqoPQw==" saltValue="laZsLtpQAccTULXeIe/X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A1MscSrUlHYPuPPAIKP+BGB/Fxr1mPDtCZ259NYiLlsUvO/EbhAA2RJqiUEQ1rxpqZDqtmC/yi2+FnzIC/HCw==" saltValue="iJILp0OXNlMl7dc2hnhcB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XATIVA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0.19875776397515527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0.14054296272030756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DBR9lQ5Nn7zcPwah7LrAWiFmIUjyvB4Log9F7TVZSK/OcNvQ4IGGw33J2Lx4Rdaly8lL7gNTCbjFAS1anm55WQ==" saltValue="pQmakTvTo9cC3RbC+ram6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4Dw3xyi6KRM/O+e2Lc8R74KNjLXrw7qBOZFWhRgixI3D9hEph+zJEFXAbz1mzFDVRAfR33IHIRz8BtWpkNEIw==" saltValue="8YxHDELDBcmbddPxSFfN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XATIVA</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13</v>
      </c>
      <c r="D10" s="404">
        <f>IF(ISNUMBER(C10/Datos!BH10),C10/Datos!BH10," - ")</f>
        <v>13</v>
      </c>
      <c r="E10" s="403">
        <f>IF(ISNUMBER(Datos!J10),Datos!J10," - ")</f>
        <v>1</v>
      </c>
      <c r="F10" s="404">
        <f>IF(ISNUMBER(E10/B10),E10/B10," - ")</f>
        <v>1</v>
      </c>
      <c r="G10" s="403">
        <f>IF(ISNUMBER(Datos!K10),Datos!K10," - ")</f>
        <v>2</v>
      </c>
      <c r="H10" s="404">
        <f>IF(ISNUMBER(G10/B10),G10/B10," - ")</f>
        <v>2</v>
      </c>
      <c r="I10" s="403">
        <f>IF(ISNUMBER(Datos!L10),Datos!L10," - ")</f>
        <v>12</v>
      </c>
      <c r="J10" s="404">
        <f>IF(ISNUMBER(I10/B10),I10/B10," - ")</f>
        <v>12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2390</v>
      </c>
      <c r="D12" s="404">
        <f>IF(ISNUMBER(C12/Datos!BH12),C12/Datos!BH12," - ")</f>
        <v>597.5</v>
      </c>
      <c r="E12" s="403">
        <f>IF(ISNUMBER(IF(J_V="SI",Datos!J12,Datos!J12+Datos!Z12)),IF(J_V="SI",Datos!J12,Datos!J12+Datos!Z12)," - ")</f>
        <v>1723</v>
      </c>
      <c r="F12" s="404">
        <f>IF(ISNUMBER(E12/B12),E12/B12," - ")</f>
        <v>430.75</v>
      </c>
      <c r="G12" s="403">
        <f>IF(ISNUMBER(IF(J_V="SI",Datos!K12,Datos!K12+Datos!AA12)),IF(J_V="SI",Datos!K12,Datos!K12+Datos!AA12)," - ")</f>
        <v>1125</v>
      </c>
      <c r="H12" s="404">
        <f>IF(ISNUMBER(G12/B12),G12/B12," - ")</f>
        <v>281.25</v>
      </c>
      <c r="I12" s="403">
        <f>IF(ISNUMBER(IF(J_V="SI",Datos!L12,Datos!L12+Datos!AB12)),IF(J_V="SI",Datos!L12,Datos!L12+Datos!AB12)," - ")</f>
        <v>2991</v>
      </c>
      <c r="J12" s="404">
        <f>IF(ISNUMBER(I12/B12),I12/B12," - ")</f>
        <v>747.75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2403</v>
      </c>
      <c r="D13" s="850" t="str">
        <f>IF(ISNUMBER(C13/Datos!BI13),C13/Datos!BI13," - ")</f>
        <v xml:space="preserve"> - </v>
      </c>
      <c r="E13" s="849">
        <f>SUBTOTAL(9,E8:E12)</f>
        <v>1724</v>
      </c>
      <c r="F13" s="850">
        <f>IF(ISNUMBER(E13/B13),E13/B13," - ")</f>
        <v>431</v>
      </c>
      <c r="G13" s="849">
        <f>SUBTOTAL(9,G8:G12)</f>
        <v>1127</v>
      </c>
      <c r="H13" s="850">
        <f>IF(ISNUMBER(G13/B13),G13/B13," - ")</f>
        <v>281.75</v>
      </c>
      <c r="I13" s="849">
        <f>SUBTOTAL(9,I8:I12)</f>
        <v>3003</v>
      </c>
      <c r="J13" s="850">
        <f>IF(ISNUMBER(I13/B13),I13/B13," - ")</f>
        <v>750.75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1620</v>
      </c>
      <c r="D16" s="404">
        <f>IF(ISNUMBER(C16/Datos!BH16),C16/Datos!BH16," - ")</f>
        <v>405</v>
      </c>
      <c r="E16" s="403">
        <f>IF(ISNUMBER(IF(D_I="SI",Datos!J16,Datos!J16+Datos!AD16)),IF(D_I="SI",Datos!J16,Datos!J16+Datos!AD16)," - ")</f>
        <v>1056</v>
      </c>
      <c r="F16" s="404">
        <f>IF(ISNUMBER(E16/B16),E16/B16," - ")</f>
        <v>264</v>
      </c>
      <c r="G16" s="403">
        <f>IF(ISNUMBER(IF(D_I="SI",Datos!K16,Datos!K16+Datos!AE16)),IF(D_I="SI",Datos!K16,Datos!K16+Datos!AE16)," - ")</f>
        <v>983</v>
      </c>
      <c r="H16" s="404">
        <f>IF(ISNUMBER(G16/B16),G16/B16," - ")</f>
        <v>245.75</v>
      </c>
      <c r="I16" s="403">
        <f>IF(ISNUMBER(IF(D_I="SI",Datos!L16,Datos!L16+Datos!AF16)),IF(D_I="SI",Datos!L16,Datos!L16+Datos!AF16)," - ")</f>
        <v>1693</v>
      </c>
      <c r="J16" s="404">
        <f>IF(ISNUMBER(I16/B16),I16/B16," - ")</f>
        <v>423.25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18</v>
      </c>
      <c r="D17" s="404">
        <f>IF(ISNUMBER(C17/Datos!BH17),C17/Datos!BH17," - ")</f>
        <v>18</v>
      </c>
      <c r="E17" s="403">
        <f>IF(ISNUMBER(IF(D_I="SI",Datos!J17,Datos!J17+Datos!AD17)),IF(D_I="SI",Datos!J17,Datos!J17+Datos!AD17)," - ")</f>
        <v>9</v>
      </c>
      <c r="F17" s="404">
        <f>IF(ISNUMBER(E17/B17),E17/B17," - ")</f>
        <v>9</v>
      </c>
      <c r="G17" s="403">
        <f>IF(ISNUMBER(IF(D_I="SI",Datos!K17,Datos!K17+Datos!AE17)),IF(D_I="SI",Datos!K17,Datos!K17+Datos!AE17)," - ")</f>
        <v>12</v>
      </c>
      <c r="H17" s="404">
        <f>IF(ISNUMBER(G17/B17),G17/B17," - ")</f>
        <v>12</v>
      </c>
      <c r="I17" s="403">
        <f>IF(ISNUMBER(IF(D_I="SI",Datos!L17,Datos!L17+Datos!AF17)),IF(D_I="SI",Datos!L17,Datos!L17+Datos!AF17)," - ")</f>
        <v>15</v>
      </c>
      <c r="J17" s="404">
        <f>IF(ISNUMBER(I17/B17),I17/B17," - ")</f>
        <v>15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1638</v>
      </c>
      <c r="D18" s="850" t="str">
        <f>IF(ISNUMBER(C18/Datos!BI18),C18/Datos!BI18," - ")</f>
        <v xml:space="preserve"> - </v>
      </c>
      <c r="E18" s="849">
        <f>SUBTOTAL(9,E14:E17)</f>
        <v>1065</v>
      </c>
      <c r="F18" s="850">
        <f>IF(ISNUMBER(E18/B18),E18/B18," - ")</f>
        <v>266.25</v>
      </c>
      <c r="G18" s="849">
        <f>SUBTOTAL(9,G14:G17)</f>
        <v>995</v>
      </c>
      <c r="H18" s="850">
        <f>IF(ISNUMBER(G18/B18),G18/B18," - ")</f>
        <v>248.75</v>
      </c>
      <c r="I18" s="849">
        <f>SUBTOTAL(9,I14:I17)</f>
        <v>1708</v>
      </c>
      <c r="J18" s="850">
        <f>IF(ISNUMBER(I18/B18),I18/B18," - ")</f>
        <v>427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4041</v>
      </c>
      <c r="D19" s="795" t="str">
        <f>IF(ISNUMBER(C19/Datos!BI19),C19/Datos!BI19," - ")</f>
        <v xml:space="preserve"> - </v>
      </c>
      <c r="E19" s="794">
        <f>SUBTOTAL(9,E9:E18)</f>
        <v>2789</v>
      </c>
      <c r="F19" s="795">
        <f>IF(ISNUMBER(E19/B19),E19/B19," - ")</f>
        <v>697.25</v>
      </c>
      <c r="G19" s="794">
        <f>SUBTOTAL(9,G9:G18)</f>
        <v>2122</v>
      </c>
      <c r="H19" s="795">
        <f>IF(ISNUMBER(G19/B19),G19/B19," - ")</f>
        <v>530.5</v>
      </c>
      <c r="I19" s="794">
        <f>SUBTOTAL(9,I9:I18)</f>
        <v>4711</v>
      </c>
      <c r="J19" s="795">
        <f>IF(ISNUMBER(I19/B19),I19/B19," - ")</f>
        <v>1177.75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OMSYg3zESiIWrbXyFEACdoDa64d0w1TDjSEeVkpsBC1VCj4/+Iw5oJ9Ub0SgfquKnPR2hjdeuUNdHRh00MTF6Q==" saltValue="YiyF2HDsnRY8GOXOeJ0k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XATIVA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13</v>
      </c>
      <c r="G10" s="684">
        <f>IF(ISNUMBER(Datos!I10),Datos!I10," - ")</f>
        <v>13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198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3929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222</v>
      </c>
      <c r="AM12" s="690">
        <f>IF(ISNUMBER(Datos!N12+DatosP!N16),Datos!N12+DatosP!N16," - ")</f>
        <v>337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7.976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1.3673890608875128E-2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13</v>
      </c>
      <c r="G13" s="938">
        <f t="shared" si="0"/>
        <v>13</v>
      </c>
      <c r="H13" s="938">
        <f t="shared" si="0"/>
        <v>0</v>
      </c>
      <c r="I13" s="940">
        <f t="shared" si="0"/>
        <v>0</v>
      </c>
      <c r="J13" s="939">
        <f t="shared" si="0"/>
        <v>0</v>
      </c>
      <c r="K13" s="939">
        <f t="shared" si="0"/>
        <v>0</v>
      </c>
      <c r="L13" s="941">
        <f t="shared" si="0"/>
        <v>0</v>
      </c>
      <c r="M13" s="941">
        <f t="shared" si="0"/>
        <v>0</v>
      </c>
      <c r="N13" s="939">
        <f t="shared" si="0"/>
        <v>198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145</v>
      </c>
      <c r="AE13" s="939">
        <f t="shared" si="1"/>
        <v>0</v>
      </c>
      <c r="AF13" s="939">
        <f t="shared" si="1"/>
        <v>12</v>
      </c>
      <c r="AG13" s="939">
        <f t="shared" si="1"/>
        <v>0</v>
      </c>
      <c r="AH13" s="939">
        <f t="shared" si="1"/>
        <v>3929</v>
      </c>
      <c r="AI13" s="939">
        <f t="shared" si="1"/>
        <v>0</v>
      </c>
      <c r="AJ13" s="939">
        <f t="shared" si="1"/>
        <v>0</v>
      </c>
      <c r="AK13" s="939">
        <f t="shared" si="1"/>
        <v>0</v>
      </c>
      <c r="AL13" s="939">
        <f t="shared" si="1"/>
        <v>224</v>
      </c>
      <c r="AM13" s="939">
        <f t="shared" si="1"/>
        <v>337</v>
      </c>
      <c r="AN13" s="939">
        <f t="shared" si="1"/>
        <v>0</v>
      </c>
      <c r="AO13" s="939">
        <f t="shared" si="1"/>
        <v>0</v>
      </c>
      <c r="AP13" s="944">
        <f>IF(ISNUMBER(((Datos!L13/Datos!K13)*11)/factor_trimestre),((Datos!L13/Datos!K13)*11)/factor_trimestre," - ")</f>
        <v>8.211764705882354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-0.15384615384615385</v>
      </c>
      <c r="AU13" s="939" t="str">
        <f>IF(ISNUMBER((DatosP!#REF!-DatosP!#REF!+DatosP!#REF!)/(DatosP!#REF!+DatosP!#REF!-DatosP!#REF!-DatosP!#REF!)),(DatosP!#REF!-DatosP!#REF!+DatosP!#REF!)/(DatosP!#REF!+DatosP!#REF!-DatosP!#REF!-DatosP!#REF!)," - ")</f>
        <v xml:space="preserve"> - </v>
      </c>
      <c r="AV13" s="945">
        <f>SUBTOTAL(9,AV9:AV12)</f>
        <v>1.3673890608875128E-2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5.1497487437185931</v>
      </c>
      <c r="AQ18" s="944">
        <f>IF(ISNUMBER(((Datos!M18/Datos!L18)*11)/factor_trimestre),((Datos!M18/Datos!L18)*11)/factor_trimestre," - ")</f>
        <v>0.35128805620608905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3.6809815950920248E-2</v>
      </c>
      <c r="AW18" s="946">
        <f>IF(ISNUMBER((Datos!Q18-Datos!R18)/(Datos!S18-Datos!Q18+Datos!R18)),(Datos!Q18-Datos!R18)/(Datos!S18-Datos!Q18+Datos!R18)," - ")</f>
        <v>-9.4533762057877807E-2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13</v>
      </c>
      <c r="G19" s="951">
        <f t="shared" si="4"/>
        <v>13</v>
      </c>
      <c r="H19" s="951">
        <f t="shared" si="4"/>
        <v>0</v>
      </c>
      <c r="I19" s="952">
        <f t="shared" si="4"/>
        <v>0</v>
      </c>
      <c r="J19" s="953">
        <f t="shared" si="4"/>
        <v>0</v>
      </c>
      <c r="K19" s="953">
        <f t="shared" si="4"/>
        <v>0</v>
      </c>
      <c r="L19" s="953">
        <f t="shared" si="4"/>
        <v>0</v>
      </c>
      <c r="M19" s="953">
        <f t="shared" si="4"/>
        <v>0</v>
      </c>
      <c r="N19" s="952">
        <f t="shared" si="4"/>
        <v>198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145</v>
      </c>
      <c r="AE19" s="957">
        <f t="shared" si="5"/>
        <v>0</v>
      </c>
      <c r="AF19" s="958">
        <f t="shared" si="5"/>
        <v>12</v>
      </c>
      <c r="AG19" s="958">
        <f t="shared" si="5"/>
        <v>0</v>
      </c>
      <c r="AH19" s="958">
        <f t="shared" si="5"/>
        <v>3929</v>
      </c>
      <c r="AI19" s="958">
        <f t="shared" si="5"/>
        <v>0</v>
      </c>
      <c r="AJ19" s="959">
        <f t="shared" si="5"/>
        <v>0</v>
      </c>
      <c r="AK19" s="959">
        <f t="shared" si="5"/>
        <v>0</v>
      </c>
      <c r="AL19" s="951">
        <f t="shared" si="5"/>
        <v>224</v>
      </c>
      <c r="AM19" s="951">
        <f t="shared" si="5"/>
        <v>337</v>
      </c>
      <c r="AN19" s="951">
        <f t="shared" si="5"/>
        <v>0</v>
      </c>
      <c r="AO19" s="951">
        <f t="shared" si="5"/>
        <v>0</v>
      </c>
      <c r="AP19" s="951">
        <f>IF(ISNUMBER(((Datos!L19/Datos!K19)*11)/factor_trimestre),((Datos!L19/Datos!K19)*11)/factor_trimestre," - ")</f>
        <v>6.6997518610421842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-0.15384615384615385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1.4282196503324305E-2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8.6666666666666661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7.5055534994651349</v>
      </c>
      <c r="G21" s="737">
        <f>IF(ISNUMBER(STDEV(G8:G18)),STDEV(G8:G18),"-")</f>
        <v>7.5055534994651349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128.1769610083393</v>
      </c>
      <c r="AM21" s="736"/>
      <c r="AN21" s="736">
        <f>IF(ISNUMBER(STDEV(AN8:AN18)),STDEV(AN8:AN18),"-")</f>
        <v>0</v>
      </c>
      <c r="AO21" s="742">
        <f>IF(ISNUMBER(STDEV(AO8:AO18)),STDEV(AO8:AO18),"-")</f>
        <v>0</v>
      </c>
      <c r="AP21" s="779">
        <f>IF(ISNUMBER(STDEV(AP8:AP18)),STDEV(AP8:AP18),"-")</f>
        <v>5.618706156190008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N53TRPEUCpR63r0C3z96/zh1dzl+/Y+wOtksI4TyD6V0bgHT+8y6cyE8rTl8tc+G1qT7conA+/qvWT9tWFoJGQ==" saltValue="2U6qMIK+kxuxwRrxaJ5j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XATIVA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nvBzRu5CuN38AesZxurHTL7/+wfkBBeUhBl8JWIXYSSvx0Gn9XfTBQhG1XGO3uUS6l0QyVeNWnAVxjDz8tEHGw==" saltValue="ZrYZgT36qhG6r/embeqb3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XATIVA</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222</v>
      </c>
      <c r="E12" s="404">
        <f t="shared" si="0"/>
        <v>55.5</v>
      </c>
      <c r="F12" s="403">
        <f>IF(ISNUMBER(Datos!N12),Datos!N12," - ")</f>
        <v>337</v>
      </c>
      <c r="G12" s="404">
        <f t="shared" si="1"/>
        <v>84.25</v>
      </c>
      <c r="H12" s="403">
        <f>IF(ISNUMBER(Datos!O12),Datos!O12," - ")</f>
        <v>521</v>
      </c>
      <c r="I12" s="404">
        <f t="shared" si="2"/>
        <v>130.25</v>
      </c>
      <c r="BZ12" s="1186">
        <f>Datos!EZ12</f>
        <v>0</v>
      </c>
    </row>
    <row r="13" spans="1:78" ht="14.25" thickTop="1" thickBot="1">
      <c r="A13" s="848" t="str">
        <f>Datos!A13</f>
        <v>TOTAL</v>
      </c>
      <c r="B13" s="849">
        <f>Datos!AP13</f>
        <v>4</v>
      </c>
      <c r="C13" s="851">
        <f>Datos!AR13</f>
        <v>4</v>
      </c>
      <c r="D13" s="849">
        <f>SUBTOTAL(9,D9:D12)</f>
        <v>224</v>
      </c>
      <c r="E13" s="850">
        <f t="shared" si="0"/>
        <v>56</v>
      </c>
      <c r="F13" s="849">
        <f>SUBTOTAL(9,F9:F12)</f>
        <v>337</v>
      </c>
      <c r="G13" s="850">
        <f t="shared" si="1"/>
        <v>84.25</v>
      </c>
      <c r="H13" s="849">
        <f>SUBTOTAL(9,H9:H12)</f>
        <v>521</v>
      </c>
      <c r="I13" s="850">
        <f>IF(ISNUMBER(H13/B13),H13/B13," - ")</f>
        <v>130.25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199</v>
      </c>
      <c r="E16" s="404">
        <f t="shared" si="3"/>
        <v>49.75</v>
      </c>
      <c r="F16" s="403">
        <f>IF(ISNUMBER(Datos!N16),Datos!N16," - ")</f>
        <v>543</v>
      </c>
      <c r="G16" s="404">
        <f t="shared" si="4"/>
        <v>135.75</v>
      </c>
      <c r="H16" s="403">
        <f>IF(ISNUMBER(Datos!O16),Datos!O16," - ")</f>
        <v>13</v>
      </c>
      <c r="I16" s="404">
        <f t="shared" si="5"/>
        <v>3.25</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12</v>
      </c>
      <c r="G17" s="404">
        <f>IF(ISNUMBER(F17/B17),F17/B17," - ")</f>
        <v>12</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200</v>
      </c>
      <c r="E18" s="850">
        <f t="shared" si="3"/>
        <v>50</v>
      </c>
      <c r="F18" s="849">
        <f>SUBTOTAL(9,F15:F17)</f>
        <v>555</v>
      </c>
      <c r="G18" s="850">
        <f t="shared" si="4"/>
        <v>138.75</v>
      </c>
      <c r="H18" s="849">
        <f>SUBTOTAL(9,H15:H17)</f>
        <v>13</v>
      </c>
      <c r="I18" s="850">
        <f>IF(ISNUMBER(H18/B18),H18/B18," - ")</f>
        <v>3.25</v>
      </c>
      <c r="BZ18" s="1186"/>
    </row>
    <row r="19" spans="1:78" ht="14.25" thickTop="1" thickBot="1">
      <c r="A19" s="793" t="str">
        <f>Datos!A19</f>
        <v>TOTAL JURISDICCIONES</v>
      </c>
      <c r="B19" s="794">
        <f>Datos!AP19</f>
        <v>4</v>
      </c>
      <c r="C19" s="794">
        <f>Datos!AR19</f>
        <v>4</v>
      </c>
      <c r="D19" s="794">
        <f>SUBTOTAL(9,D8:D18)</f>
        <v>424</v>
      </c>
      <c r="E19" s="795">
        <f>IF(ISNUMBER(D19/B19),D19/B19," - ")</f>
        <v>106</v>
      </c>
      <c r="F19" s="794">
        <f>SUBTOTAL(9,F8:F18)</f>
        <v>892</v>
      </c>
      <c r="G19" s="795">
        <f>IF(ISNUMBER(F19/B19),F19/B19," - ")</f>
        <v>223</v>
      </c>
      <c r="H19" s="794">
        <f>SUBTOTAL(9,H8:H18)</f>
        <v>534</v>
      </c>
      <c r="I19" s="795">
        <f>IF(ISNUMBER(H19/B19),H19/B19," - ")</f>
        <v>133.5</v>
      </c>
    </row>
    <row r="22" spans="1:78">
      <c r="A22" s="391" t="str">
        <f>Criterios!A4</f>
        <v>Fecha Informe: 03 jun. 2025</v>
      </c>
    </row>
    <row r="27" spans="1:78">
      <c r="A27" s="414"/>
    </row>
  </sheetData>
  <sheetProtection algorithmName="SHA-512" hashValue="D0D++3ZB5vtwC4pMhV+vW6J1hk6MEneK9NXQHtYoSINkRpQzAeY8VahxN4UD5Y7RI6d6NjrrCKc/6fuLE61y2g==" saltValue="QGCOIOyKZrnqQTvBL/ke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XATIVA</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21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198</v>
      </c>
      <c r="C12" s="434">
        <f>IF(ISNUMBER(Datos!Q12),Datos!Q12," - ")</f>
        <v>145</v>
      </c>
      <c r="D12" s="408">
        <f>IF(ISNUMBER(Datos!R12),Datos!R12," - ")</f>
        <v>3929</v>
      </c>
    </row>
    <row r="13" spans="1:4" ht="14.25" thickTop="1" thickBot="1">
      <c r="A13" s="848" t="str">
        <f>Datos!A13</f>
        <v>TOTAL</v>
      </c>
      <c r="B13" s="849">
        <f>SUBTOTAL(9,B9:B12)</f>
        <v>198</v>
      </c>
      <c r="C13" s="853">
        <f>SUBTOTAL(9,C9:C12)</f>
        <v>146</v>
      </c>
      <c r="D13" s="851">
        <f>SUBTOTAL(9,D9:D12)</f>
        <v>3950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28</v>
      </c>
      <c r="C16" s="434">
        <f>IF(ISNUMBER(Datos!Q16),Datos!Q16," - ")</f>
        <v>22</v>
      </c>
      <c r="D16" s="408">
        <f>IF(ISNUMBER(Datos!R16),Datos!R16," - ")</f>
        <v>167</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28</v>
      </c>
      <c r="C18" s="853">
        <f>SUBTOTAL(9,C15:C17)</f>
        <v>22</v>
      </c>
      <c r="D18" s="851">
        <f>SUBTOTAL(9,D15:D17)</f>
        <v>169</v>
      </c>
    </row>
    <row r="19" spans="1:4" ht="16.5" customHeight="1" thickTop="1" thickBot="1">
      <c r="A19" s="793" t="str">
        <f>Datos!A19</f>
        <v>TOTAL JURISDICCIONES</v>
      </c>
      <c r="B19" s="798">
        <f>SUBTOTAL(9,B8:B18)</f>
        <v>226</v>
      </c>
      <c r="C19" s="799">
        <f>SUBTOTAL(9,C8:C18)</f>
        <v>168</v>
      </c>
      <c r="D19" s="800">
        <f>SUBTOTAL(9,D8:D18)</f>
        <v>4119</v>
      </c>
    </row>
    <row r="20" spans="1:4" ht="7.5" customHeight="1"/>
    <row r="21" spans="1:4" ht="6" customHeight="1"/>
    <row r="22" spans="1:4">
      <c r="A22" s="391" t="str">
        <f>Criterios!A4</f>
        <v>Fecha Informe: 03 jun. 2025</v>
      </c>
    </row>
    <row r="27" spans="1:4">
      <c r="A27" s="414"/>
    </row>
  </sheetData>
  <sheetProtection algorithmName="SHA-512" hashValue="cXEzFcYm5Egl4zbe5y7hLtjN0rO0WOVdrZ6vjGA3DKaUP1cwqz21ezWtBCthnWeq0f4zczoB2b96B8y+Lq7B4Q==" saltValue="whVQfZAYKt7dXEIiG9/l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XATIVA</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v>
      </c>
      <c r="C10" s="456">
        <f>IF(ISNUMBER((Datos!J10-Datos!T10)/Datos!T10),(Datos!J10-Datos!T10)/Datos!T10," - ")</f>
        <v>0</v>
      </c>
      <c r="D10" s="456">
        <f>IF(ISNUMBER((Datos!K10-Datos!U10)/Datos!U10),(Datos!K10-Datos!U10)/Datos!U10," - ")</f>
        <v>-0.5</v>
      </c>
      <c r="E10" s="456">
        <f>IF(ISNUMBER((Datos!L10-Datos!V10)/Datos!V10),(Datos!L10-Datos!V10)/Datos!V10," - ")</f>
        <v>0.7142857142857143</v>
      </c>
      <c r="F10" s="456">
        <f>IF(ISNUMBER((Datos!M10-Datos!W10)/Datos!W10),(Datos!M10-Datos!W10)/Datos!W10," - ")</f>
        <v>-0.5</v>
      </c>
      <c r="G10" s="457" t="str">
        <f>IF(ISNUMBER((Datos!N10-Datos!X10)/Datos!X10),(Datos!N10-Datos!X10)/Datos!X10," - ")</f>
        <v xml:space="preserve"> - </v>
      </c>
      <c r="H10" s="455">
        <f>IF(ISNUMBER(((NºAsuntos!G10/NºAsuntos!E10)-Datos!BD10)/Datos!BD10),((NºAsuntos!G10/NºAsuntos!E10)-Datos!BD10)/Datos!BD10," - ")</f>
        <v>-0.5</v>
      </c>
      <c r="I10" s="456">
        <f>IF(ISNUMBER(((NºAsuntos!I10/NºAsuntos!G10)-Datos!BE10)/Datos!BE10),((NºAsuntos!I10/NºAsuntos!G10)-Datos!BE10)/Datos!BE10," - ")</f>
        <v>2.4285714285714284</v>
      </c>
      <c r="J10" s="461">
        <f>IF(ISNUMBER((('Resol  Asuntos'!D10/NºAsuntos!G10)-Datos!BF10)/Datos!BF10),(('Resol  Asuntos'!D10/NºAsuntos!G10)-Datos!BF10)/Datos!BF10," - ")</f>
        <v>0</v>
      </c>
      <c r="K10" s="462">
        <f>IF(ISNUMBER((((NºAsuntos!C10+NºAsuntos!E10)/NºAsuntos!G10)-Datos!BG10)/Datos!BG10),(((NºAsuntos!C10+NºAsuntos!E10)/NºAsuntos!G10)-Datos!BG10)/Datos!BG10," - ")</f>
        <v>1.5454545454545454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0.23962655601659752</v>
      </c>
      <c r="C12" s="456">
        <f>IF(ISNUMBER(
   IF(J_V="SI",(Datos!J12-Datos!T12)/Datos!T12,(Datos!J12+Datos!Z12-(Datos!T12+Datos!AH12))/(Datos!T12+Datos!AH12))
     ),IF(J_V="SI",(Datos!J12-Datos!T12)/Datos!T12,(Datos!J12+Datos!Z12-(Datos!T12+Datos!AH12))/(Datos!T12+Datos!AH12))," - ")</f>
        <v>0.79292403746097817</v>
      </c>
      <c r="D12" s="456">
        <f>IF(ISNUMBER(
   IF(J_V="SI",(Datos!K12-Datos!U12)/Datos!U12,(Datos!K12+Datos!AA12-(Datos!U12+Datos!AI12))/(Datos!U12+Datos!AI12))
     ),IF(J_V="SI",(Datos!K12-Datos!U12)/Datos!U12,(Datos!K12+Datos!AA12-(Datos!U12+Datos!AI12))/(Datos!U12+Datos!AI12))," - ")</f>
        <v>0.30510440835266822</v>
      </c>
      <c r="E12" s="456">
        <f>IF(ISNUMBER(
   IF(J_V="SI",(Datos!L12-Datos!V12)/Datos!V12,(Datos!L12+Datos!AB12-(Datos!V12+Datos!AJ12))/(Datos!V12+Datos!AJ12))
     ),IF(J_V="SI",(Datos!L12-Datos!V12)/Datos!V12,(Datos!L12+Datos!AB12-(Datos!V12+Datos!AJ12))/(Datos!V12+Datos!AJ12))," - ")</f>
        <v>0.4741251848201084</v>
      </c>
      <c r="F12" s="456">
        <f>IF(ISNUMBER((Datos!M12-Datos!W12)/Datos!W12),(Datos!M12-Datos!W12)/Datos!W12," - ")</f>
        <v>0.17460317460317459</v>
      </c>
      <c r="G12" s="457">
        <f>IF(ISNUMBER((Datos!N12-Datos!X12)/Datos!X12),(Datos!N12-Datos!X12)/Datos!X12," - ")</f>
        <v>2.1212121212121213E-2</v>
      </c>
      <c r="H12" s="455">
        <f>IF(ISNUMBER(((NºAsuntos!G12/NºAsuntos!E12)-Datos!BD12)/Datos!BD12),((NºAsuntos!G12/NºAsuntos!E12)-Datos!BD12)/Datos!BD12," - ")</f>
        <v>-0.27208047798786184</v>
      </c>
      <c r="I12" s="456">
        <f>IF(ISNUMBER(((NºAsuntos!I12/NºAsuntos!G12)-Datos!BE12)/Datos!BE12),((NºAsuntos!I12/NºAsuntos!G12)-Datos!BE12)/Datos!BE12," - ")</f>
        <v>0.12950747494660736</v>
      </c>
      <c r="J12" s="461">
        <f>IF(ISNUMBER((('Resol  Asuntos'!D12/NºAsuntos!G12)-Datos!BF12)/Datos!BF12),(('Resol  Asuntos'!D12/NºAsuntos!G12)-Datos!BF12)/Datos!BF12," - ")</f>
        <v>-0.48454141414141416</v>
      </c>
      <c r="K12" s="462">
        <f>IF(ISNUMBER((((NºAsuntos!C12+NºAsuntos!E12)/NºAsuntos!G12)-Datos!BG12)/Datos!BG12),(((NºAsuntos!C12+NºAsuntos!E12)/NºAsuntos!G12)-Datos!BG12)/Datos!BG12," - ")</f>
        <v>9.0852197992384948E-2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0.23993808049535603</v>
      </c>
      <c r="C13" s="855">
        <f>IF(ISNUMBER(
   IF(J_V="SI",(Datos!J13-Datos!T13)/Datos!T13,(Datos!J13+Datos!Z13-(Datos!T13+Datos!AH13))/(Datos!T13+Datos!AH13))
     ),IF(J_V="SI",(Datos!J13-Datos!T13)/Datos!T13,(Datos!J13+Datos!Z13-(Datos!T13+Datos!AH13))/(Datos!T13+Datos!AH13))," - ")</f>
        <v>0.79209979209979209</v>
      </c>
      <c r="D13" s="855">
        <f>IF(ISNUMBER(
   IF(J_V="SI",(Datos!K13-Datos!U13)/Datos!U13,(Datos!K13+Datos!AA13-(Datos!U13+Datos!AI13))/(Datos!U13+Datos!AI13))
     ),IF(J_V="SI",(Datos!K13-Datos!U13)/Datos!U13,(Datos!K13+Datos!AA13-(Datos!U13+Datos!AI13))/(Datos!U13+Datos!AI13))," - ")</f>
        <v>0.30138568129330257</v>
      </c>
      <c r="E13" s="855">
        <f>IF(ISNUMBER(
   IF(J_V="SI",(Datos!L13-Datos!V13)/Datos!V13,(Datos!L13+Datos!AB13-(Datos!V13+Datos!AJ13))/(Datos!V13+Datos!AJ13))
     ),IF(J_V="SI",(Datos!L13-Datos!V13)/Datos!V13,(Datos!L13+Datos!AB13-(Datos!V13+Datos!AJ13))/(Datos!V13+Datos!AJ13))," - ")</f>
        <v>0.47495088408644398</v>
      </c>
      <c r="F13" s="856">
        <f>IF(ISNUMBER((Datos!M13-Datos!W13)/Datos!W13),(Datos!M13-Datos!W13)/Datos!W13," - ")</f>
        <v>0.16062176165803108</v>
      </c>
      <c r="G13" s="857">
        <f>IF(ISNUMBER((Datos!N13-Datos!X13)/Datos!X13),(Datos!N13-Datos!X13)/Datos!X13," - ")</f>
        <v>2.1212121212121213E-2</v>
      </c>
      <c r="H13" s="857">
        <f>IF(ISNUMBER(((NºAsuntos!G13/NºAsuntos!E13)-Datos!BD13)/Datos!BD13),((NºAsuntos!G13/NºAsuntos!E13)-Datos!BD13)/Datos!BD13," - ")</f>
        <v>-0.27382075092566299</v>
      </c>
      <c r="I13" s="857">
        <f>IF(ISNUMBER(((NºAsuntos!I13/NºAsuntos!G13)-Datos!BE13)/Datos!BE13),((NºAsuntos!I13/NºAsuntos!G13)-Datos!BE13)/Datos!BE13," - ")</f>
        <v>0.13336953471061275</v>
      </c>
      <c r="J13" s="857">
        <f>IF(ISNUMBER((('Resol  Asuntos'!D13/NºAsuntos!G13)-Datos!BF13)/Datos!BF13),(('Resol  Asuntos'!D13/NºAsuntos!G13)-Datos!BF13)/Datos!BF13," - ")</f>
        <v>-0.48465801316621421</v>
      </c>
      <c r="K13" s="857">
        <f>IF(ISNUMBER((((NºAsuntos!C13+NºAsuntos!E13)/NºAsuntos!G13)-Datos!BG13)/Datos!BG13),(((NºAsuntos!C13+NºAsuntos!E13)/NºAsuntos!G13)-Datos!BG13)/Datos!BG13," - ")</f>
        <v>9.3529357770094482E-2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0.17476432197244379</v>
      </c>
      <c r="C16" s="456">
        <f>IF(ISNUMBER(
   IF(D_I="SI",(Datos!J16-Datos!T16)/Datos!T16,(Datos!J16+Datos!AD16-(Datos!T16+Datos!AL16))/(Datos!T16+Datos!AL16))
     ),IF(D_I="SI",(Datos!J16-Datos!T16)/Datos!T16,(Datos!J16+Datos!AD16-(Datos!T16+Datos!AL16))/(Datos!T16+Datos!AL16))," - ")</f>
        <v>0.34351145038167941</v>
      </c>
      <c r="D16" s="456">
        <f>IF(ISNUMBER(
   IF(D_I="SI",(Datos!K16-Datos!U16)/Datos!U16,(Datos!K16+Datos!AE16-(Datos!U16+Datos!AM16))/(Datos!U16+Datos!AM16))
     ),IF(D_I="SI",(Datos!K16-Datos!U16)/Datos!U16,(Datos!K16+Datos!AE16-(Datos!U16+Datos!AM16))/(Datos!U16+Datos!AM16))," - ")</f>
        <v>0.28664921465968585</v>
      </c>
      <c r="E16" s="456">
        <f>IF(ISNUMBER(
   IF(D_I="SI",(Datos!L16-Datos!V16)/Datos!V16,(Datos!L16+Datos!AF16-(Datos!V16+Datos!AN16))/(Datos!V16+Datos!AN16))
     ),IF(D_I="SI",(Datos!L16-Datos!V16)/Datos!V16,(Datos!L16+Datos!AF16-(Datos!V16+Datos!AN16))/(Datos!V16+Datos!AN16))," - ")</f>
        <v>0.20842255531763026</v>
      </c>
      <c r="F16" s="456">
        <f>IF(ISNUMBER((Datos!M16-Datos!W16)/Datos!W16),(Datos!M16-Datos!W16)/Datos!W16," - ")</f>
        <v>0.28387096774193549</v>
      </c>
      <c r="G16" s="457">
        <f>IF(ISNUMBER((Datos!N16-Datos!X16)/Datos!X16),(Datos!N16-Datos!X16)/Datos!X16," - ")</f>
        <v>0.19867549668874171</v>
      </c>
      <c r="H16" s="455">
        <f>IF(ISNUMBER(((NºAsuntos!G16/NºAsuntos!E16)-Datos!BD16)/Datos!BD16),((NºAsuntos!G16/NºAsuntos!E16)-Datos!BD16)/Datos!BD16," - ")</f>
        <v>-4.232359590671108E-2</v>
      </c>
      <c r="I16" s="456">
        <f>IF(ISNUMBER(((NºAsuntos!I16/NºAsuntos!G16)-Datos!BE16)/Datos!BE16),((NºAsuntos!I16/NºAsuntos!G16)-Datos!BE16)/Datos!BE16," - ")</f>
        <v>-6.0798746426582409E-2</v>
      </c>
      <c r="J16" s="461">
        <f>IF(ISNUMBER((('Resol  Asuntos'!D16/NºAsuntos!G16)-Datos!BF16)/Datos!BF16),(('Resol  Asuntos'!D16/NºAsuntos!G16)-Datos!BF16)/Datos!BF16," - ")</f>
        <v>-2.159288550520218E-3</v>
      </c>
      <c r="K16" s="462">
        <f>IF(ISNUMBER((((NºAsuntos!C16+NºAsuntos!E16)/NºAsuntos!G16)-Datos!BG16)/Datos!BG16),(((NºAsuntos!C16+NºAsuntos!E16)/NºAsuntos!G16)-Datos!BG16)/Datos!BG16," - ")</f>
        <v>-3.9343669165654557E-2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-0.37931034482758619</v>
      </c>
      <c r="C17" s="456" t="str">
        <f>IF(ISNUMBER(
   IF(D_I="SI",(Datos!J17-Datos!T17)/Datos!T17,(Datos!J17+Datos!AD17-(Datos!T17+Datos!AL17))/(Datos!T17+Datos!AL17))
     ),IF(D_I="SI",(Datos!J17-Datos!T17)/Datos!T17,(Datos!J17+Datos!AD17-(Datos!T17+Datos!AL17))/(Datos!T17+Datos!AL17))," - ")</f>
        <v xml:space="preserve"> - </v>
      </c>
      <c r="D17" s="456">
        <f>IF(ISNUMBER(
   IF(D_I="SI",(Datos!K17-Datos!U17)/Datos!U17,(Datos!K17+Datos!AE17-(Datos!U17+Datos!AM17))/(Datos!U17+Datos!AM17))
     ),IF(D_I="SI",(Datos!K17-Datos!U17)/Datos!U17,(Datos!K17+Datos!AE17-(Datos!U17+Datos!AM17))/(Datos!U17+Datos!AM17))," - ")</f>
        <v>0.33333333333333331</v>
      </c>
      <c r="E17" s="456">
        <f>IF(ISNUMBER(
   IF(D_I="SI",(Datos!L17-Datos!V17)/Datos!V17,(Datos!L17+Datos!AF17-(Datos!V17+Datos!AN17))/(Datos!V17+Datos!AN17))
     ),IF(D_I="SI",(Datos!L17-Datos!V17)/Datos!V17,(Datos!L17+Datos!AF17-(Datos!V17+Datos!AN17))/(Datos!V17+Datos!AN17))," - ")</f>
        <v>-0.25</v>
      </c>
      <c r="F17" s="456">
        <f>IF(ISNUMBER((Datos!M17-Datos!W17)/Datos!W17),(Datos!M17-Datos!W17)/Datos!W17," - ")</f>
        <v>-0.66666666666666663</v>
      </c>
      <c r="G17" s="457">
        <f>IF(ISNUMBER((Datos!N17-Datos!X17)/Datos!X17),(Datos!N17-Datos!X17)/Datos!X17," - ")</f>
        <v>3</v>
      </c>
      <c r="H17" s="455" t="str">
        <f>IF(ISNUMBER(((NºAsuntos!G17/NºAsuntos!E17)-Datos!BD17)/Datos!BD17),((NºAsuntos!G17/NºAsuntos!E17)-Datos!BD17)/Datos!BD17," - ")</f>
        <v xml:space="preserve"> - </v>
      </c>
      <c r="I17" s="456">
        <f>IF(ISNUMBER(((NºAsuntos!I17/NºAsuntos!G17)-Datos!BE17)/Datos!BE17),((NºAsuntos!I17/NºAsuntos!G17)-Datos!BE17)/Datos!BE17," - ")</f>
        <v>-0.4375</v>
      </c>
      <c r="J17" s="461">
        <f>IF(ISNUMBER((('Resol  Asuntos'!D17/NºAsuntos!G17)-Datos!BF17)/Datos!BF17),(('Resol  Asuntos'!D17/NºAsuntos!G17)-Datos!BF17)/Datos!BF17," - ")</f>
        <v>-0.75</v>
      </c>
      <c r="K17" s="462">
        <f>IF(ISNUMBER((((NºAsuntos!C17+NºAsuntos!E17)/NºAsuntos!G17)-Datos!BG17)/Datos!BG17),(((NºAsuntos!C17+NºAsuntos!E17)/NºAsuntos!G17)-Datos!BG17)/Datos!BG17," - ")</f>
        <v>-0.30172413793103453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0.16335227272727273</v>
      </c>
      <c r="C18" s="855">
        <f>IF(ISNUMBER(
   IF(Criterios!B14="SI",(Datos!J18-Datos!T18)/Datos!T18,(Datos!J18+Datos!AD18-(Datos!T18+Datos!AL18))/(Datos!T18+Datos!AL18))
     ),IF(Criterios!B14="SI",(Datos!J18-Datos!T18)/Datos!T18,(Datos!J18+Datos!AD18-(Datos!T18+Datos!AL18))/(Datos!T18+Datos!AL18))," - ")</f>
        <v>0.35496183206106868</v>
      </c>
      <c r="D18" s="855">
        <f>IF(ISNUMBER(
   IF(Criterios!B14="SI",(Datos!K18-Datos!U18)/Datos!U18,(Datos!K18+Datos!AE18-(Datos!U18+Datos!AM18))/(Datos!U18+Datos!AM18))
     ),IF(Criterios!B14="SI",(Datos!K18-Datos!U18)/Datos!U18,(Datos!K18+Datos!AE18-(Datos!U18+Datos!AM18))/(Datos!U18+Datos!AM18))," - ")</f>
        <v>0.2871927554980595</v>
      </c>
      <c r="E18" s="855">
        <f>IF(ISNUMBER(
   IF(Criterios!B14="SI",(Datos!L18-Datos!V18)/Datos!V18,(Datos!L18+Datos!AF18-(Datos!V18+Datos!AN18))/(Datos!V18+Datos!AN18))
     ),IF(Criterios!B14="SI",(Datos!L18-Datos!V18)/Datos!V18,(Datos!L18+Datos!AF18-(Datos!V18+Datos!AN18))/(Datos!V18+Datos!AN18))," - ")</f>
        <v>0.2019704433497537</v>
      </c>
      <c r="F18" s="856">
        <f>IF(ISNUMBER((Datos!M18-Datos!W18)/Datos!W18),(Datos!M18-Datos!W18)/Datos!W18," - ")</f>
        <v>0.26582278481012656</v>
      </c>
      <c r="G18" s="857">
        <f>IF(ISNUMBER((Datos!N18-Datos!X18)/Datos!X18),(Datos!N18-Datos!X18)/Datos!X18," - ")</f>
        <v>0.21710526315789475</v>
      </c>
      <c r="H18" s="857">
        <f>IF(ISNUMBER(((NºAsuntos!G18/NºAsuntos!E18)-Datos!BD18)/Datos!BD18),((NºAsuntos!G18/NºAsuntos!E18)-Datos!BD18)/Datos!BD18," - ")</f>
        <v>-5.0015487491572926E-2</v>
      </c>
      <c r="I18" s="857">
        <f>IF(ISNUMBER(((NºAsuntos!I18/NºAsuntos!G18)-Datos!BE18)/Datos!BE18),((NºAsuntos!I18/NºAsuntos!G18)-Datos!BE18)/Datos!BE18," - ")</f>
        <v>-6.62078867242617E-2</v>
      </c>
      <c r="J18" s="857">
        <f>IF(ISNUMBER((('Resol  Asuntos'!D18/NºAsuntos!G18)-Datos!BF18)/Datos!BF18),(('Resol  Asuntos'!D18/NºAsuntos!G18)-Datos!BF18)/Datos!BF18," - ")</f>
        <v>-1.6601997328414188E-2</v>
      </c>
      <c r="K18" s="857">
        <f>IF(ISNUMBER((((NºAsuntos!C18+NºAsuntos!E18)/NºAsuntos!G18)-Datos!BG18)/Datos!BG18),(((NºAsuntos!C18+NºAsuntos!E18)/NºAsuntos!G18)-Datos!BG18)/Datos!BG18," - ")</f>
        <v>-4.2881224719770225E-2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0.2077106993424985</v>
      </c>
      <c r="C19" s="802">
        <f>IF(ISNUMBER(
   IF(J_V="SI",(Datos!J19-Datos!T19)/Datos!T19,(Datos!J19+Datos!Z19-(Datos!T19+Datos!AH19))/(Datos!T19+Datos!AH19))
     ),IF(J_V="SI",(Datos!J19-Datos!T19)/Datos!T19,(Datos!J19+Datos!Z19-(Datos!T19+Datos!AH19))/(Datos!T19+Datos!AH19))," - ")</f>
        <v>0.59553775743707094</v>
      </c>
      <c r="D19" s="802">
        <f>IF(ISNUMBER(
   IF(J_V="SI",(Datos!K19-Datos!U19)/Datos!U19,(Datos!K19+Datos!AA19-(Datos!U19+Datos!AI19))/(Datos!U19+Datos!AI19))
     ),IF(J_V="SI",(Datos!K19-Datos!U19)/Datos!U19,(Datos!K19+Datos!AA19-(Datos!U19+Datos!AI19))/(Datos!U19+Datos!AI19))," - ")</f>
        <v>0.29469188529591211</v>
      </c>
      <c r="E19" s="802">
        <f>IF(ISNUMBER(
   IF(J_V="SI",(Datos!L19-Datos!V19)/Datos!V19,(Datos!L19+Datos!AB19-(Datos!V19+Datos!AJ19))/(Datos!V19+Datos!AJ19))
     ),IF(J_V="SI",(Datos!L19-Datos!V19)/Datos!V19,(Datos!L19+Datos!AB19-(Datos!V19+Datos!AJ19))/(Datos!V19+Datos!AJ19))," - ")</f>
        <v>0.36274226207694532</v>
      </c>
      <c r="F19" s="803">
        <f>IF(ISNUMBER((Datos!M19-Datos!W19)/Datos!W19),(Datos!M19-Datos!W19)/Datos!W19," - ")</f>
        <v>0.20797720797720798</v>
      </c>
      <c r="G19" s="804">
        <f>IF(ISNUMBER((Datos!N19-Datos!X19)/Datos!X19),(Datos!N19-Datos!X19)/Datos!X19," - ")</f>
        <v>0.13486005089058525</v>
      </c>
      <c r="H19" s="805">
        <f>IF(ISNUMBER((Tasas!B19-Datos!BD19)/Datos!BD19),(Tasas!B19-Datos!BD19)/Datos!BD19," - ")</f>
        <v>-0.1885545301193064</v>
      </c>
      <c r="I19" s="806">
        <f>IF(ISNUMBER((Tasas!C19-Datos!BE19)/Datos!BE19),(Tasas!C19-Datos!BE19)/Datos!BE19," - ")</f>
        <v>5.2561059163107188E-2</v>
      </c>
      <c r="J19" s="807">
        <f>IF(ISNUMBER((Tasas!D19-Datos!BF19)/Datos!BF19),(Tasas!D19-Datos!BF19)/Datos!BF19," - ")</f>
        <v>-0.33436779231128783</v>
      </c>
      <c r="K19" s="807">
        <f>IF(ISNUMBER((Tasas!E19-Datos!BG19)/Datos!BG19),(Tasas!E19-Datos!BG19)/Datos!BG19," - ")</f>
        <v>3.5607857852023743E-2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I1h8XeoS39IC41rwedHRe5piGgJhWFzlt2Vri8JxG+xRUgdS7mv7Hru7fd/gNH1xSGrlH/lLsB+Zz2lSUqKhA==" saltValue="SB1EfB4URDf1iASbAzrd6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XATIVA</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6</v>
      </c>
      <c r="D10" s="444">
        <f>IF(ISNUMBER('Resol  Asuntos'!D10/NºAsuntos!G10),'Resol  Asuntos'!D10/NºAsuntos!G10," - ")</f>
        <v>1</v>
      </c>
      <c r="E10" s="445">
        <f>IF(ISNUMBER((NºAsuntos!C10+NºAsuntos!E10)/NºAsuntos!G10),(NºAsuntos!C10+NºAsuntos!E10)/NºAsuntos!G10," - ")</f>
        <v>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0.65293093441671501</v>
      </c>
      <c r="C12" s="443">
        <f>IF(ISNUMBER(NºAsuntos!I12/NºAsuntos!G12),NºAsuntos!I12/NºAsuntos!G12," - ")</f>
        <v>2.6586666666666665</v>
      </c>
      <c r="D12" s="444">
        <f>IF(ISNUMBER('Resol  Asuntos'!D12/NºAsuntos!G12),'Resol  Asuntos'!D12/NºAsuntos!G12," - ")</f>
        <v>0.19733333333333333</v>
      </c>
      <c r="E12" s="445">
        <f>IF(ISNUMBER((NºAsuntos!C12+NºAsuntos!E12)/NºAsuntos!G12),(NºAsuntos!C12+NºAsuntos!E12)/NºAsuntos!G12," - ")</f>
        <v>3.6560000000000001</v>
      </c>
      <c r="G12" s="463"/>
    </row>
    <row r="13" spans="1:7" ht="14.25" thickTop="1" thickBot="1">
      <c r="A13" s="848" t="str">
        <f>Datos!A13</f>
        <v>TOTAL</v>
      </c>
      <c r="B13" s="858">
        <f>IF(ISNUMBER(NºAsuntos!G13/NºAsuntos!E13),NºAsuntos!G13/NºAsuntos!E13," - ")</f>
        <v>0.65371229698375866</v>
      </c>
      <c r="C13" s="859">
        <f>IF(ISNUMBER(NºAsuntos!I13/NºAsuntos!G13),NºAsuntos!I13/NºAsuntos!G13," - ")</f>
        <v>2.6645962732919255</v>
      </c>
      <c r="D13" s="860">
        <f>IF(ISNUMBER('Resol  Asuntos'!D13/NºAsuntos!G13),'Resol  Asuntos'!D13/NºAsuntos!G13," - ")</f>
        <v>0.19875776397515527</v>
      </c>
      <c r="E13" s="861">
        <f>IF(ISNUMBER((NºAsuntos!C13+NºAsuntos!E13)/NºAsuntos!G13),(NºAsuntos!C13+NºAsuntos!E13)/NºAsuntos!G13," - ")</f>
        <v>3.6619343389529724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0.93087121212121215</v>
      </c>
      <c r="C16" s="443">
        <f>IF(ISNUMBER(NºAsuntos!I16/NºAsuntos!G16),NºAsuntos!I16/NºAsuntos!G16," - ")</f>
        <v>1.7222787385554426</v>
      </c>
      <c r="D16" s="444">
        <f>IF(ISNUMBER('Resol  Asuntos'!D16/NºAsuntos!G16),'Resol  Asuntos'!D16/NºAsuntos!G16," - ")</f>
        <v>0.20244150559511698</v>
      </c>
      <c r="E16" s="445">
        <f>IF(ISNUMBER((NºAsuntos!C16+NºAsuntos!E16)/NºAsuntos!G16),(NºAsuntos!C16+NºAsuntos!E16)/NºAsuntos!G16," - ")</f>
        <v>2.7222787385554423</v>
      </c>
      <c r="G16" s="463"/>
    </row>
    <row r="17" spans="1:7" ht="13.5" thickBot="1">
      <c r="A17" s="402" t="str">
        <f>Datos!A17</f>
        <v>Jdos. Violencia contra la mujer</v>
      </c>
      <c r="B17" s="442">
        <f>IF(ISNUMBER(NºAsuntos!G17/NºAsuntos!E17),NºAsuntos!G17/NºAsuntos!E17," - ")</f>
        <v>1.3333333333333333</v>
      </c>
      <c r="C17" s="443">
        <f>IF(ISNUMBER(NºAsuntos!I17/NºAsuntos!G17),NºAsuntos!I17/NºAsuntos!G17," - ")</f>
        <v>1.25</v>
      </c>
      <c r="D17" s="444">
        <f>IF(ISNUMBER('Resol  Asuntos'!D17/NºAsuntos!G17),'Resol  Asuntos'!D17/NºAsuntos!G17," - ")</f>
        <v>8.3333333333333329E-2</v>
      </c>
      <c r="E17" s="445">
        <f>IF(ISNUMBER((NºAsuntos!C17+NºAsuntos!E17)/NºAsuntos!G17),(NºAsuntos!C17+NºAsuntos!E17)/NºAsuntos!G17," - ")</f>
        <v>2.25</v>
      </c>
      <c r="G17" s="463"/>
    </row>
    <row r="18" spans="1:7" ht="14.25" thickTop="1" thickBot="1">
      <c r="A18" s="848" t="str">
        <f>Datos!A18</f>
        <v>TOTAL</v>
      </c>
      <c r="B18" s="858">
        <f>IF(ISNUMBER(NºAsuntos!G18/NºAsuntos!E18),NºAsuntos!G18/NºAsuntos!E18," - ")</f>
        <v>0.93427230046948362</v>
      </c>
      <c r="C18" s="859">
        <f>IF(ISNUMBER(NºAsuntos!I18/NºAsuntos!G18),NºAsuntos!I18/NºAsuntos!G18," - ")</f>
        <v>1.7165829145728644</v>
      </c>
      <c r="D18" s="862">
        <f>IF(ISNUMBER('Resol  Asuntos'!D18/NºAsuntos!G18),'Resol  Asuntos'!D18/NºAsuntos!G18," - ")</f>
        <v>0.20100502512562815</v>
      </c>
      <c r="E18" s="861">
        <f>IF(ISNUMBER((NºAsuntos!C18+NºAsuntos!E18)/NºAsuntos!G18),(NºAsuntos!C18+NºAsuntos!E18)/NºAsuntos!G18," - ")</f>
        <v>2.7165829145728644</v>
      </c>
      <c r="G18" s="463"/>
    </row>
    <row r="19" spans="1:7" ht="15.75" customHeight="1" thickTop="1" thickBot="1">
      <c r="A19" s="793" t="str">
        <f>Datos!A19</f>
        <v>TOTAL JURISDICCIONES</v>
      </c>
      <c r="B19" s="808">
        <f>IF(ISNUMBER(NºAsuntos!G19/NºAsuntos!E19),NºAsuntos!G19/NºAsuntos!E19," - ")</f>
        <v>0.76084618142703475</v>
      </c>
      <c r="C19" s="809">
        <f>IF(ISNUMBER(NºAsuntos!I19/NºAsuntos!G19),NºAsuntos!I19/NºAsuntos!G19," - ")</f>
        <v>2.2200754005655043</v>
      </c>
      <c r="D19" s="810">
        <f>IF(ISNUMBER('Resol  Asuntos'!D19/NºAsuntos!G19),'Resol  Asuntos'!D19/NºAsuntos!G19," - ")</f>
        <v>0.19981149858623939</v>
      </c>
      <c r="E19" s="811">
        <f>IF(ISNUMBER((NºAsuntos!C19+NºAsuntos!E19)/NºAsuntos!G19),(NºAsuntos!C19+NºAsuntos!E19)/NºAsuntos!G19," - ")</f>
        <v>3.2186616399622996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rlVricIqbf8Bq3tTEp8sHRp8rQfdFk0x1BvjuYblGahqmfA2Yo5mYnDZXeNexWwhVb26Ka7+fGUhWAgT1vkcEw==" saltValue="OdjnDUqIKLB5ImL4cY7O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XATIVA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13</v>
      </c>
      <c r="G10" s="333">
        <f>IF(ISNUMBER(Datos!I10),Datos!I10," - ")</f>
        <v>13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1</v>
      </c>
      <c r="Y10" s="334">
        <f t="shared" ref="Y10:Y12" si="0">SUM(W10:X10)</f>
        <v>3</v>
      </c>
      <c r="Z10" s="335" t="str">
        <f>IF(ISNUMBER(Datos!CC10),Datos!CC10," - ")</f>
        <v xml:space="preserve"> - </v>
      </c>
      <c r="AA10" s="332">
        <f>IF(ISNUMBER(Datos!L10),Datos!L10,"-")</f>
        <v>12</v>
      </c>
      <c r="AB10" s="334">
        <f>IF(ISNUMBER(Datos!R10),Datos!R10," - ")</f>
        <v>21</v>
      </c>
      <c r="AC10" s="334">
        <f t="shared" ref="AC10:AC12" si="1">IF(ISNUMBER(AA10+AB10),AA10+AB10," - ")</f>
        <v>33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18</v>
      </c>
      <c r="AN10" s="244">
        <f>IF(ISNUMBER('Resol  Asuntos'!D10/NºAsuntos!G10),'Resol  Asuntos'!D10/NºAsuntos!G10," - ")</f>
        <v>1</v>
      </c>
      <c r="AO10" s="245">
        <f>IF(ISNUMBER((NºAsuntos!C10+NºAsuntos!E10)/NºAsuntos!G10),(NºAsuntos!C10+NºAsuntos!E10)/NºAsuntos!G10," - ")</f>
        <v>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198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145</v>
      </c>
      <c r="Y12" s="334">
        <f t="shared" si="0"/>
        <v>145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3929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222</v>
      </c>
      <c r="AJ12" s="229" t="str">
        <f>IF(ISNUMBER(Datos!BW12),Datos!BW12," - ")</f>
        <v xml:space="preserve"> - </v>
      </c>
      <c r="AK12" s="228" t="str">
        <f>IF(ISNUMBER(Datos!BX12),Datos!BX12," - ")</f>
        <v xml:space="preserve"> - </v>
      </c>
      <c r="AL12" s="243">
        <f>IF(ISNUMBER(NºAsuntos!G12/NºAsuntos!E12),NºAsuntos!G12/NºAsuntos!E12," - ")</f>
        <v>0.65293093441671501</v>
      </c>
      <c r="AM12" s="260">
        <f>IF(ISNUMBER(((NºAsuntos!I12/NºAsuntos!G12)*11)/factor_trimestre),((NºAsuntos!I12/NºAsuntos!G12)*11)/factor_trimestre," - ")</f>
        <v>7.976</v>
      </c>
      <c r="AN12" s="244">
        <f>IF(ISNUMBER('Resol  Asuntos'!D12/NºAsuntos!G12),'Resol  Asuntos'!D12/NºAsuntos!G12," - ")</f>
        <v>0.19733333333333333</v>
      </c>
      <c r="AO12" s="245">
        <f>IF(ISNUMBER((NºAsuntos!C12+NºAsuntos!E12)/NºAsuntos!G12),(NºAsuntos!C12+NºAsuntos!E12)/NºAsuntos!G12," - ")</f>
        <v>3.6560000000000001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13</v>
      </c>
      <c r="G13" s="866">
        <f t="shared" si="3"/>
        <v>13</v>
      </c>
      <c r="H13" s="865">
        <f t="shared" si="3"/>
        <v>0</v>
      </c>
      <c r="I13" s="867">
        <f t="shared" si="3"/>
        <v>0</v>
      </c>
      <c r="J13" s="867">
        <f t="shared" si="3"/>
        <v>0</v>
      </c>
      <c r="K13" s="867">
        <f t="shared" si="3"/>
        <v>0</v>
      </c>
      <c r="L13" s="867">
        <f t="shared" si="3"/>
        <v>198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146</v>
      </c>
      <c r="Y13" s="868">
        <f t="shared" si="4"/>
        <v>148</v>
      </c>
      <c r="Z13" s="868">
        <f t="shared" si="4"/>
        <v>0</v>
      </c>
      <c r="AA13" s="868">
        <f t="shared" si="4"/>
        <v>12</v>
      </c>
      <c r="AB13" s="868">
        <f t="shared" si="4"/>
        <v>3950</v>
      </c>
      <c r="AC13" s="868">
        <f t="shared" si="4"/>
        <v>33</v>
      </c>
      <c r="AD13" s="868">
        <f t="shared" si="4"/>
        <v>0</v>
      </c>
      <c r="AE13" s="872">
        <f t="shared" si="4"/>
        <v>0</v>
      </c>
      <c r="AF13" s="865">
        <f t="shared" si="4"/>
        <v>0</v>
      </c>
      <c r="AG13" s="873">
        <f t="shared" si="4"/>
        <v>0</v>
      </c>
      <c r="AH13" s="870">
        <f t="shared" si="4"/>
        <v>0</v>
      </c>
      <c r="AI13" s="865">
        <f t="shared" si="4"/>
        <v>224</v>
      </c>
      <c r="AJ13" s="867">
        <f t="shared" si="4"/>
        <v>0</v>
      </c>
      <c r="AK13" s="870">
        <f>SUBTOTAL(9,AK9:AK12)</f>
        <v>0</v>
      </c>
      <c r="AL13" s="874">
        <f>IF(ISNUMBER(NºAsuntos!G13/NºAsuntos!E13),NºAsuntos!G13/NºAsuntos!E13," - ")</f>
        <v>0.65371229698375866</v>
      </c>
      <c r="AM13" s="874">
        <f>IF(ISNUMBER(((NºAsuntos!I13/NºAsuntos!G13)*11)/factor_trimestre),((NºAsuntos!I13/NºAsuntos!G13)*11)/factor_trimestre," - ")</f>
        <v>7.9937888198757765</v>
      </c>
      <c r="AN13" s="875">
        <f>IF(ISNUMBER('Resol  Asuntos'!D13/NºAsuntos!G13),'Resol  Asuntos'!D13/NºAsuntos!G13," - ")</f>
        <v>0.19875776397515527</v>
      </c>
      <c r="AO13" s="876">
        <f>IF(ISNUMBER((NºAsuntos!C13+NºAsuntos!E13)/NºAsuntos!G13),(NºAsuntos!C13+NºAsuntos!E13)/NºAsuntos!G13," - ")</f>
        <v>3.6619343389529724</v>
      </c>
      <c r="AP13" s="877" t="str">
        <f t="shared" si="2"/>
        <v xml:space="preserve"> - </v>
      </c>
      <c r="AQ13" s="877">
        <f>IF(ISNUMBER((H13-W13+K13)/(F13)),(H13-W13+K13)/(F13)," - ")</f>
        <v>-0.15384615384615385</v>
      </c>
      <c r="AR13" s="878">
        <f>IF(ISNUMBER((Datos!P13-Datos!Q13)/(Datos!R13-Datos!P13+Datos!Q13)),(Datos!P13-Datos!Q13)/(Datos!R13-Datos!P13+Datos!Q13)," - ")</f>
        <v>1.3340174448435094E-2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1620</v>
      </c>
      <c r="G16" s="333">
        <f>IF(ISNUMBER(IF(D_I="SI",Datos!I16,Datos!I16+Datos!AC16)),IF(D_I="SI",Datos!I16,Datos!I16+Datos!AC16)," - ")</f>
        <v>1620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983</v>
      </c>
      <c r="X16" s="226">
        <f>IF(ISNUMBER(Datos!Q16),Datos!Q16," - ")</f>
        <v>22</v>
      </c>
      <c r="Y16" s="334">
        <f t="shared" ref="Y16:Y17" si="7">SUM(W16:X16)</f>
        <v>1005</v>
      </c>
      <c r="Z16" s="335" t="str">
        <f>IF(ISNUMBER(Datos!CC16),Datos!CC16," - ")</f>
        <v xml:space="preserve"> - </v>
      </c>
      <c r="AA16" s="332">
        <f>IF(ISNUMBER(IF(D_I="SI",Datos!L16,Datos!L16+Datos!AF16)),IF(D_I="SI",Datos!L16,Datos!L16+Datos!AF16)," - ")</f>
        <v>1693</v>
      </c>
      <c r="AB16" s="334">
        <f>IF(ISNUMBER(Datos!R16),Datos!R16," - ")</f>
        <v>167</v>
      </c>
      <c r="AC16" s="334">
        <f t="shared" si="6"/>
        <v>1860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199</v>
      </c>
      <c r="AJ16" s="231" t="str">
        <f>IF(ISNUMBER(Datos!BW16),Datos!BW16," - ")</f>
        <v xml:space="preserve"> - </v>
      </c>
      <c r="AK16" s="232" t="str">
        <f>IF(ISNUMBER(Datos!BX16),Datos!BX16," - ")</f>
        <v xml:space="preserve"> - </v>
      </c>
      <c r="AL16" s="243">
        <f>IF(ISNUMBER(NºAsuntos!G16/NºAsuntos!E16),NºAsuntos!G16/NºAsuntos!E16," - ")</f>
        <v>0.93087121212121215</v>
      </c>
      <c r="AM16" s="260">
        <f>IF(ISNUMBER(((NºAsuntos!I16/NºAsuntos!G16)*11)/factor_trimestre),((NºAsuntos!I16/NºAsuntos!G16)*11)/factor_trimestre," - ")</f>
        <v>5.1668362156663274</v>
      </c>
      <c r="AN16" s="244">
        <f>IF(ISNUMBER('Resol  Asuntos'!D16/NºAsuntos!G16),'Resol  Asuntos'!D16/NºAsuntos!G16," - ")</f>
        <v>0.20244150559511698</v>
      </c>
      <c r="AO16" s="245">
        <f>IF(ISNUMBER((NºAsuntos!C16+NºAsuntos!E16)/NºAsuntos!G16),(NºAsuntos!C16+NºAsuntos!E16)/NºAsuntos!G16," - ")</f>
        <v>2.7222787385554423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v>
      </c>
      <c r="X17" s="226">
        <f>IF(ISNUMBER(Datos!Q17),Datos!Q17," - ")</f>
        <v>0</v>
      </c>
      <c r="Y17" s="334">
        <f t="shared" si="7"/>
        <v>12</v>
      </c>
      <c r="Z17" s="335" t="str">
        <f>IF(ISNUMBER(Datos!CC17),Datos!CC17," - ")</f>
        <v xml:space="preserve"> - </v>
      </c>
      <c r="AA17" s="332">
        <f>IF(ISNUMBER(Datos!L17),Datos!L17,"-")</f>
        <v>15</v>
      </c>
      <c r="AB17" s="334">
        <f>IF(ISNUMBER(Datos!R17),Datos!R17," - ")</f>
        <v>2</v>
      </c>
      <c r="AC17" s="334">
        <f t="shared" si="6"/>
        <v>17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1.3333333333333333</v>
      </c>
      <c r="AM17" s="260">
        <f>IF(ISNUMBER(((NºAsuntos!I17/NºAsuntos!G17)*11)/factor_trimestre),((NºAsuntos!I17/NºAsuntos!G17)*11)/factor_trimestre," - ")</f>
        <v>3.75</v>
      </c>
      <c r="AN17" s="244">
        <f>IF(ISNUMBER('Resol  Asuntos'!D17/NºAsuntos!G17),'Resol  Asuntos'!D17/NºAsuntos!G17," - ")</f>
        <v>8.3333333333333329E-2</v>
      </c>
      <c r="AO17" s="245">
        <f>IF(ISNUMBER((NºAsuntos!C17+NºAsuntos!E17)/NºAsuntos!G17),(NºAsuntos!C17+NºAsuntos!E17)/NºAsuntos!G17," - ")</f>
        <v>2.25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1620</v>
      </c>
      <c r="G18" s="866">
        <f>SUBTOTAL(9,G15:G17)</f>
        <v>1638</v>
      </c>
      <c r="H18" s="865">
        <f t="shared" ref="H18:O18" si="10">SUBTOTAL(9,H14:H17)</f>
        <v>0</v>
      </c>
      <c r="I18" s="867">
        <f t="shared" si="10"/>
        <v>0</v>
      </c>
      <c r="J18" s="867">
        <f t="shared" si="10"/>
        <v>0</v>
      </c>
      <c r="K18" s="867">
        <f t="shared" si="10"/>
        <v>0</v>
      </c>
      <c r="L18" s="867">
        <f t="shared" si="10"/>
        <v>28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995</v>
      </c>
      <c r="X18" s="867">
        <f t="shared" si="11"/>
        <v>22</v>
      </c>
      <c r="Y18" s="868">
        <f t="shared" si="11"/>
        <v>1017</v>
      </c>
      <c r="Z18" s="868">
        <f t="shared" si="11"/>
        <v>0</v>
      </c>
      <c r="AA18" s="868">
        <f t="shared" si="11"/>
        <v>1708</v>
      </c>
      <c r="AB18" s="868">
        <f t="shared" si="11"/>
        <v>169</v>
      </c>
      <c r="AC18" s="868">
        <f t="shared" si="11"/>
        <v>1877</v>
      </c>
      <c r="AD18" s="868">
        <f t="shared" si="11"/>
        <v>0</v>
      </c>
      <c r="AE18" s="872">
        <f t="shared" si="11"/>
        <v>0</v>
      </c>
      <c r="AF18" s="865">
        <f t="shared" si="11"/>
        <v>0</v>
      </c>
      <c r="AG18" s="873">
        <f t="shared" si="11"/>
        <v>0</v>
      </c>
      <c r="AH18" s="870">
        <f t="shared" si="11"/>
        <v>0</v>
      </c>
      <c r="AI18" s="865">
        <f t="shared" si="11"/>
        <v>200</v>
      </c>
      <c r="AJ18" s="867">
        <f t="shared" si="11"/>
        <v>0</v>
      </c>
      <c r="AK18" s="870">
        <f t="shared" si="11"/>
        <v>0</v>
      </c>
      <c r="AL18" s="874">
        <f>IF(ISNUMBER(NºAsuntos!G18/NºAsuntos!E18),NºAsuntos!G18/NºAsuntos!E18," - ")</f>
        <v>0.93427230046948362</v>
      </c>
      <c r="AM18" s="874">
        <f>IF(ISNUMBER(((NºAsuntos!I18/NºAsuntos!G18)*11)/factor_trimestre),((NºAsuntos!I18/NºAsuntos!G18)*11)/factor_trimestre," - ")</f>
        <v>5.1497487437185931</v>
      </c>
      <c r="AN18" s="875">
        <f>IF(ISNUMBER('Resol  Asuntos'!D18/NºAsuntos!G18),'Resol  Asuntos'!D18/NºAsuntos!G18," - ")</f>
        <v>0.20100502512562815</v>
      </c>
      <c r="AO18" s="876">
        <f>IF(ISNUMBER((NºAsuntos!C18+NºAsuntos!E18)/NºAsuntos!G18),(NºAsuntos!C18+NºAsuntos!E18)/NºAsuntos!G18," - ")</f>
        <v>2.7165829145728644</v>
      </c>
      <c r="AP18" s="877" t="str">
        <f t="shared" si="2"/>
        <v xml:space="preserve"> - </v>
      </c>
      <c r="AQ18" s="877">
        <f>IF(ISNUMBER((H18-W18+K18)/(F18)),(H18-W18+K18)/(F18)," - ")</f>
        <v>-0.61419753086419748</v>
      </c>
      <c r="AR18" s="878">
        <f>IF(ISNUMBER((Datos!P18-Datos!Q18)/(Datos!R18-Datos!P18+Datos!Q18)),(Datos!P18-Datos!Q18)/(Datos!R18-Datos!P18+Datos!Q18)," - ")</f>
        <v>3.6809815950920248E-2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1633</v>
      </c>
      <c r="G19" s="821">
        <f t="shared" si="13"/>
        <v>1651</v>
      </c>
      <c r="H19" s="820">
        <f t="shared" si="13"/>
        <v>0</v>
      </c>
      <c r="I19" s="822">
        <f t="shared" si="13"/>
        <v>0</v>
      </c>
      <c r="J19" s="822">
        <f t="shared" si="13"/>
        <v>0</v>
      </c>
      <c r="K19" s="881">
        <f t="shared" si="13"/>
        <v>0</v>
      </c>
      <c r="L19" s="822">
        <f t="shared" si="13"/>
        <v>226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997</v>
      </c>
      <c r="X19" s="821">
        <f t="shared" si="14"/>
        <v>168</v>
      </c>
      <c r="Y19" s="828">
        <f t="shared" si="14"/>
        <v>1165</v>
      </c>
      <c r="Z19" s="828">
        <f t="shared" si="14"/>
        <v>0</v>
      </c>
      <c r="AA19" s="828">
        <f t="shared" si="14"/>
        <v>1720</v>
      </c>
      <c r="AB19" s="828">
        <f t="shared" si="14"/>
        <v>4119</v>
      </c>
      <c r="AC19" s="828">
        <f t="shared" si="14"/>
        <v>1910</v>
      </c>
      <c r="AD19" s="828">
        <f t="shared" si="14"/>
        <v>0</v>
      </c>
      <c r="AE19" s="830">
        <f t="shared" si="14"/>
        <v>0</v>
      </c>
      <c r="AF19" s="831">
        <f t="shared" si="14"/>
        <v>0</v>
      </c>
      <c r="AG19" s="832">
        <f t="shared" si="14"/>
        <v>0</v>
      </c>
      <c r="AH19" s="830">
        <f t="shared" si="14"/>
        <v>0</v>
      </c>
      <c r="AI19" s="820">
        <f t="shared" si="14"/>
        <v>424</v>
      </c>
      <c r="AJ19" s="820">
        <f t="shared" si="14"/>
        <v>0</v>
      </c>
      <c r="AK19" s="830">
        <f t="shared" si="14"/>
        <v>0</v>
      </c>
      <c r="AL19" s="884">
        <f>IF(ISNUMBER(NºAsuntos!G19/NºAsuntos!E19),NºAsuntos!G19/NºAsuntos!E19," - ")</f>
        <v>0.76084618142703475</v>
      </c>
      <c r="AM19" s="885">
        <f>IF(ISNUMBER(((NºAsuntos!I19/NºAsuntos!G19)*11)/factor_trimestre),((NºAsuntos!I19/NºAsuntos!G19)*11)/factor_trimestre," - ")</f>
        <v>6.6602262016965135</v>
      </c>
      <c r="AN19" s="885">
        <f>IF(ISNUMBER('Resol  Asuntos'!D19/NºAsuntos!G19),'Resol  Asuntos'!D19/NºAsuntos!G19," - ")</f>
        <v>0.19981149858623939</v>
      </c>
      <c r="AO19" s="886">
        <f>IF(ISNUMBER((NºAsuntos!C19+NºAsuntos!E19)/NºAsuntos!G19),(NºAsuntos!C19+NºAsuntos!E19)/NºAsuntos!G19," - ")</f>
        <v>3.2186616399622996</v>
      </c>
      <c r="AP19" s="887" t="str">
        <f t="shared" si="2"/>
        <v xml:space="preserve"> - </v>
      </c>
      <c r="AQ19" s="888">
        <f>IF(OR(ISNUMBER(FIND("01",Criterios!A8,1)),ISNUMBER(FIND("02",Criterios!A8,1)),ISNUMBER(FIND("03",Criterios!A8,1)),ISNUMBER(FIND("04",Criterios!A8,1))),(I19-W19+K19)/(F19-K19),(H19-W19+K19)/(F19-K19))</f>
        <v>-0.61053276178811999</v>
      </c>
      <c r="AR19" s="889">
        <f>IF(ISNUMBER((Datos!P19-Datos!Q19)/(Datos!R19-Datos!P19+Datos!Q19)),(Datos!P19-Datos!Q19)/(Datos!R19-Datos!P19+Datos!Q19)," - ")</f>
        <v>1.4282196503324305E-2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660.4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927.80188258772864</v>
      </c>
      <c r="G21" s="253">
        <f>IF(ISNUMBER(STDEV(G8:G18)),STDEV(G8:G18),"-")</f>
        <v>884.23203968189262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538.80859310148355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108.82585477112811</v>
      </c>
      <c r="AJ21" s="252">
        <f t="shared" si="18"/>
        <v>0</v>
      </c>
      <c r="AK21" s="254">
        <f t="shared" si="18"/>
        <v>0</v>
      </c>
      <c r="AL21" s="249">
        <f t="shared" si="18"/>
        <v>0.51343115572963471</v>
      </c>
      <c r="AM21" s="250">
        <f t="shared" si="18"/>
        <v>5.1809968794222572</v>
      </c>
      <c r="AN21" s="250">
        <f t="shared" si="18"/>
        <v>0.33938413184834237</v>
      </c>
      <c r="AO21" s="251">
        <f t="shared" si="18"/>
        <v>1.7270038636568854</v>
      </c>
      <c r="AP21" s="291" t="str">
        <f t="shared" si="18"/>
        <v>-</v>
      </c>
      <c r="AQ21" s="292">
        <f t="shared" si="18"/>
        <v>0.32551758041802359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40afvJajyRsl6/tfDhGjs+YO9D1N7bSNnK/wrRUUYmPCpmWFtlQjVke9GpU9KzXLqjYzDUILPvezRmPvCeBkmQ==" saltValue="zHqs63orSbOi2AWBmEFR6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XATIVA</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v>
      </c>
      <c r="E10" s="348">
        <f>IF(ISNUMBER((Datos!J10-Datos!T10)/Datos!T10),(Datos!J10-Datos!T10)/Datos!T10," - ")</f>
        <v>0</v>
      </c>
      <c r="F10" s="348">
        <f>IF(ISNUMBER((Datos!K10-Datos!U10)/Datos!U10),(Datos!K10-Datos!U10)/Datos!U10," - ")</f>
        <v>-0.5</v>
      </c>
      <c r="G10" s="349">
        <f>IF(ISNUMBER((Datos!L10-Datos!V10)/Datos!V10),(Datos!L10-Datos!V10)/Datos!V10," - ")</f>
        <v>0.7142857142857143</v>
      </c>
      <c r="H10" s="230">
        <f>IF(ISNUMBER((Datos!M10-Datos!W10)/Datos!W10),(Datos!M10-Datos!W10)/Datos!W10," - ")</f>
        <v>-0.5</v>
      </c>
      <c r="I10" s="350">
        <f>IF(ISNUMBER((Tasas!C10-Datos!BE10)/Datos!BE10),(Tasas!C10-Datos!BE10)/Datos!BE10," - ")</f>
        <v>2.4285714285714284</v>
      </c>
      <c r="J10" s="349">
        <f>IF(ISNUMBER((Tasas!D10-Datos!BF10)/Datos!BF10),(Tasas!D10-Datos!BF10)/Datos!BF10," - ")</f>
        <v>0</v>
      </c>
      <c r="K10" s="351">
        <f>IF(ISNUMBER((Tasas!E10-Datos!BG10)/Datos!BG10),(Tasas!E10-Datos!BG10)/Datos!BG10," - ")</f>
        <v>1.5454545454545454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0.17460317460317459</v>
      </c>
      <c r="I12" s="350">
        <f>IF(ISNUMBER((Tasas!C12-Datos!BE12)/Datos!BE12),(Tasas!C12-Datos!BE12)/Datos!BE12," - ")</f>
        <v>0.12950747494660736</v>
      </c>
      <c r="J12" s="349">
        <f>IF(ISNUMBER((Tasas!D12-Datos!BF12)/Datos!BF12),(Tasas!D12-Datos!BF12)/Datos!BF12," - ")</f>
        <v>-0.48454141414141416</v>
      </c>
      <c r="K12" s="351">
        <f>IF(ISNUMBER((Tasas!E12-Datos!BG12)/Datos!BG12),(Tasas!E12-Datos!BG12)/Datos!BG12," - ")</f>
        <v>9.0852197992384948E-2</v>
      </c>
      <c r="M12" t="e">
        <f>IF(Monitorios="SI",Datos!CE12,0)</f>
        <v>#REF!</v>
      </c>
      <c r="N12" t="e">
        <f>IF(Monitorios="SI",Datos!CF12,0)</f>
        <v>#REF!</v>
      </c>
      <c r="O12" t="e">
        <f>IF(Monitorios="SI",Datos!CG12,0)</f>
        <v>#REF!</v>
      </c>
      <c r="P12" t="e">
        <f>IF(Monitorios="SI",Datos!CH12,0)</f>
        <v>#REF!</v>
      </c>
      <c r="Q12">
        <f>IF(J_V="SI",0,Datos!AG12)</f>
        <v>127</v>
      </c>
      <c r="R12">
        <f>IF(J_V="SI",0,Datos!AH12)</f>
        <v>114</v>
      </c>
      <c r="S12">
        <f>IF(J_V="SI",0,Datos!AI12)</f>
        <v>102</v>
      </c>
      <c r="T12">
        <f>IF(J_V="SI",0,Datos!AJ12)</f>
        <v>139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0.16062176165803108</v>
      </c>
      <c r="I13" s="357">
        <f>IF(ISNUMBER((Tasas!C13-Datos!BE13)/Datos!BE13),(Tasas!C13-Datos!BE13)/Datos!BE13," - ")</f>
        <v>0.13336953471061275</v>
      </c>
      <c r="J13" s="355">
        <f>IF(ISNUMBER((Tasas!D13-Datos!BF13)/Datos!BF13),(Tasas!D13-Datos!BF13)/Datos!BF13," - ")</f>
        <v>-0.48465801316621421</v>
      </c>
      <c r="K13" s="358">
        <f>IF(ISNUMBER((Tasas!E13-Datos!BG13)/Datos!BG13),(Tasas!E13-Datos!BG13)/Datos!BG13," - ")</f>
        <v>9.3529357770094482E-2</v>
      </c>
      <c r="M13" t="e">
        <f>IF(Monitorios="SI",Datos!CE13,0)</f>
        <v>#REF!</v>
      </c>
      <c r="N13" t="e">
        <f>IF(Monitorios="SI",Datos!CF13,0)</f>
        <v>#REF!</v>
      </c>
      <c r="O13" t="e">
        <f>IF(Monitorios="SI",Datos!CG13,0)</f>
        <v>#REF!</v>
      </c>
      <c r="P13" t="e">
        <f>IF(Monitorios="SI",Datos!CH13,0)</f>
        <v>#REF!</v>
      </c>
      <c r="Q13">
        <f>IF(J_V="SI",0,Datos!AG13)</f>
        <v>127</v>
      </c>
      <c r="R13">
        <f>IF(J_V="SI",0,Datos!AH13)</f>
        <v>114</v>
      </c>
      <c r="S13">
        <f>IF(J_V="SI",0,Datos!AI13)</f>
        <v>102</v>
      </c>
      <c r="T13">
        <f>IF(J_V="SI",0,Datos!AJ13)</f>
        <v>139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0.17476432197244379</v>
      </c>
      <c r="E16" s="348">
        <f>IF(ISNUMBER(
   IF(D_I="SI",(Datos!J16-Datos!T16)/Datos!T16,(Datos!J16+Datos!AD16-(Datos!T16+Datos!AL16))/(Datos!T16+Datos!AL16))
     ),IF(D_I="SI",(Datos!J16-Datos!T16)/Datos!T16,(Datos!J16+Datos!AD16-(Datos!T16+Datos!AL16))/(Datos!T16+Datos!AL16))," - ")</f>
        <v>0.34351145038167941</v>
      </c>
      <c r="F16" s="348">
        <f>IF(ISNUMBER(
   IF(D_I="SI",(Datos!K16-Datos!U16)/Datos!U16,(Datos!K16+Datos!AE16-(Datos!U16+Datos!AM16))/(Datos!U16+Datos!AM16))
     ),IF(D_I="SI",(Datos!K16-Datos!U16)/Datos!U16,(Datos!K16+Datos!AE16-(Datos!U16+Datos!AM16))/(Datos!U16+Datos!AM16))," - ")</f>
        <v>0.28664921465968585</v>
      </c>
      <c r="G16" s="349">
        <f>IF(ISNUMBER(
   IF(D_I="SI",(Datos!L16-Datos!V16)/Datos!V16,(Datos!L16+Datos!AF16-(Datos!V16+Datos!AN16))/(Datos!V16+Datos!AN16))
     ),IF(D_I="SI",(Datos!L16-Datos!V16)/Datos!V16,(Datos!L16+Datos!AF16-(Datos!V16+Datos!AN16))/(Datos!V16+Datos!AN16))," - ")</f>
        <v>0.20842255531763026</v>
      </c>
      <c r="H16" s="230">
        <f>IF(ISNUMBER((Datos!M16-Datos!W16)/Datos!W16),(Datos!M16-Datos!W16)/Datos!W16," - ")</f>
        <v>0.28387096774193549</v>
      </c>
      <c r="I16" s="350">
        <f>IF(ISNUMBER((Tasas!C16-Datos!BE16)/Datos!BE16),(Tasas!C16-Datos!BE16)/Datos!BE16," - ")</f>
        <v>-6.0798746426582409E-2</v>
      </c>
      <c r="J16" s="349">
        <f>IF(ISNUMBER((Tasas!D16-Datos!BF16)/Datos!BF16),(Tasas!D16-Datos!BF16)/Datos!BF16," - ")</f>
        <v>-2.159288550520218E-3</v>
      </c>
      <c r="K16" s="351">
        <f>IF(ISNUMBER((Tasas!E16-Datos!BG16)/Datos!BG16),(Tasas!E16-Datos!BG16)/Datos!BG16," - ")</f>
        <v>-3.9343669165654557E-2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-0.37931034482758619</v>
      </c>
      <c r="E17" s="348" t="str">
        <f>IF(ISNUMBER(
   IF(D_I="SI",(Datos!J17-Datos!T17)/Datos!T17,(Datos!J17+Datos!AD17-(Datos!T17+Datos!AL17))/(Datos!T17+Datos!AL17))
     ),IF(D_I="SI",(Datos!J17-Datos!T17)/Datos!T17,(Datos!J17+Datos!AD17-(Datos!T17+Datos!AL17))/(Datos!T17+Datos!AL17))," - ")</f>
        <v xml:space="preserve"> - </v>
      </c>
      <c r="F17" s="348">
        <f>IF(ISNUMBER(
   IF(D_I="SI",(Datos!K17-Datos!U17)/Datos!U17,(Datos!K17+Datos!AE17-(Datos!U17+Datos!AM17))/(Datos!U17+Datos!AM17))
     ),IF(D_I="SI",(Datos!K17-Datos!U17)/Datos!U17,(Datos!K17+Datos!AE17-(Datos!U17+Datos!AM17))/(Datos!U17+Datos!AM17))," - ")</f>
        <v>0.33333333333333331</v>
      </c>
      <c r="G17" s="349">
        <f>IF(ISNUMBER(
   IF(D_I="SI",(Datos!L17-Datos!V17)/Datos!V17,(Datos!L17+Datos!AF17-(Datos!V17+Datos!AN17))/(Datos!V17+Datos!AN17))
     ),IF(D_I="SI",(Datos!L17-Datos!V17)/Datos!V17,(Datos!L17+Datos!AF17-(Datos!V17+Datos!AN17))/(Datos!V17+Datos!AN17))," - ")</f>
        <v>-0.25</v>
      </c>
      <c r="H17" s="230">
        <f>IF(ISNUMBER((Datos!M17-Datos!W17)/Datos!W17),(Datos!M17-Datos!W17)/Datos!W17," - ")</f>
        <v>-0.66666666666666663</v>
      </c>
      <c r="I17" s="350">
        <f>IF(ISNUMBER((Tasas!C17-Datos!BE17)/Datos!BE17),(Tasas!C17-Datos!BE17)/Datos!BE17," - ")</f>
        <v>-0.4375</v>
      </c>
      <c r="J17" s="349">
        <f>IF(ISNUMBER((Tasas!D17-Datos!BF17)/Datos!BF17),(Tasas!D17-Datos!BF17)/Datos!BF17," - ")</f>
        <v>-0.75</v>
      </c>
      <c r="K17" s="351">
        <f>IF(ISNUMBER((Tasas!E17-Datos!BG17)/Datos!BG17),(Tasas!E17-Datos!BG17)/Datos!BG17," - ")</f>
        <v>-0.30172413793103453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0.16335227272727273</v>
      </c>
      <c r="E18" s="354">
        <f>IF(ISNUMBER(
   IF(D_I="SI",(Datos!J18-Datos!T18)/Datos!T18,(Datos!J18+Datos!AD18-(Datos!T18+Datos!AL18))/(Datos!T18+Datos!AL18))
     ),IF(D_I="SI",(Datos!J18-Datos!T18)/Datos!T18,(Datos!J18+Datos!AD18-(Datos!T18+Datos!AL18))/(Datos!T18+Datos!AL18))," - ")</f>
        <v>0.35496183206106868</v>
      </c>
      <c r="F18" s="354">
        <f>IF(ISNUMBER(
   IF(D_I="SI",(Datos!K18-Datos!U18)/Datos!U18,(Datos!K18+Datos!AE18-(Datos!U18+Datos!AM18))/(Datos!U18+Datos!AM18))
     ),IF(D_I="SI",(Datos!K18-Datos!U18)/Datos!U18,(Datos!K18+Datos!AE18-(Datos!U18+Datos!AM18))/(Datos!U18+Datos!AM18))," - ")</f>
        <v>0.2871927554980595</v>
      </c>
      <c r="G18" s="355">
        <f>IF(ISNUMBER(
   IF(D_I="SI",(Datos!L18-Datos!V18)/Datos!V18,(Datos!L18+Datos!AF18-(Datos!V18+Datos!AN18))/(Datos!V18+Datos!AN18))
     ),IF(D_I="SI",(Datos!L18-Datos!V18)/Datos!V18,(Datos!L18+Datos!AF18-(Datos!V18+Datos!AN18))/(Datos!V18+Datos!AN18))," - ")</f>
        <v>0.2019704433497537</v>
      </c>
      <c r="H18" s="356">
        <f>IF(ISNUMBER((Datos!M18-Datos!W18)/Datos!W18),(Datos!M18-Datos!W18)/Datos!W18," - ")</f>
        <v>0.26582278481012656</v>
      </c>
      <c r="I18" s="357">
        <f>IF(ISNUMBER((Tasas!C18-Datos!BE18)/Datos!BE18),(Tasas!C18-Datos!BE18)/Datos!BE18," - ")</f>
        <v>-6.62078867242617E-2</v>
      </c>
      <c r="J18" s="355">
        <f>IF(ISNUMBER((Tasas!D18-Datos!BF18)/Datos!BF18),(Tasas!D18-Datos!BF18)/Datos!BF18," - ")</f>
        <v>-1.6601997328414188E-2</v>
      </c>
      <c r="K18" s="358">
        <f>IF(ISNUMBER((Tasas!E18-Datos!BG18)/Datos!BG18),(Tasas!E18-Datos!BG18)/Datos!BG18," - ")</f>
        <v>-4.2881224719770225E-2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0.2077106993424985</v>
      </c>
      <c r="E19" s="363">
        <f>IF(ISNUMBER(
   IF(J_V="SI",(Datos!J19-Datos!T19)/Datos!T19,(Datos!J19+Datos!Z19-(Datos!T19+Datos!AH19))/(Datos!T19+Datos!AH19))
     ),IF(J_V="SI",(Datos!J19-Datos!T19)/Datos!T19,(Datos!J19+Datos!Z19-(Datos!T19+Datos!AH19))/(Datos!T19+Datos!AH19))," - ")</f>
        <v>0.59553775743707094</v>
      </c>
      <c r="F19" s="363">
        <f>IF(ISNUMBER(
   IF(J_V="SI",(Datos!K19-Datos!U19)/Datos!U19,(Datos!K19+Datos!AA19-(Datos!U19+Datos!AI19))/(Datos!U19+Datos!AI19))
     ),IF(J_V="SI",(Datos!K19-Datos!U19)/Datos!U19,(Datos!K19+Datos!AA19-(Datos!U19+Datos!AI19))/(Datos!U19+Datos!AI19))," - ")</f>
        <v>0.29469188529591211</v>
      </c>
      <c r="G19" s="364">
        <f>IF(ISNUMBER(
   IF(J_V="SI",(Datos!L19-Datos!V19)/Datos!V19,(Datos!L19+Datos!AB19-(Datos!V19+Datos!AJ19))/(Datos!V19+Datos!AJ19))
     ),IF(J_V="SI",(Datos!L19-Datos!V19)/Datos!V19,(Datos!L19+Datos!AB19-(Datos!V19+Datos!AJ19))/(Datos!V19+Datos!AJ19))," - ")</f>
        <v>0.36274226207694532</v>
      </c>
      <c r="H19" s="365">
        <f>IF(ISNUMBER((Datos!M19-Datos!W19)/Datos!W19),(Datos!M19-Datos!W19)/Datos!W19," - ")</f>
        <v>0.20797720797720798</v>
      </c>
      <c r="I19" s="362">
        <f>IF(ISNUMBER((Tasas!C19-Datos!BE19)/Datos!BE19),(Tasas!C19-Datos!BE19)/Datos!BE19," - ")</f>
        <v>5.2561059163107188E-2</v>
      </c>
      <c r="J19" s="363">
        <f>IF(ISNUMBER((Tasas!D19-Datos!BF19)/Datos!BF19),(Tasas!D19-Datos!BF19)/Datos!BF19," - ")</f>
        <v>-0.33436779231128783</v>
      </c>
      <c r="K19" s="364">
        <f>IF(ISNUMBER((Tasas!E19-Datos!BG19)/Datos!BG19),(Tasas!E19-Datos!BG19)/Datos!BG19," - ")</f>
        <v>3.5607857852023743E-2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0.30241125540652786</v>
      </c>
      <c r="E21" s="278">
        <f t="shared" si="1"/>
        <v>0.20171313376677577</v>
      </c>
      <c r="F21" s="278">
        <f t="shared" si="1"/>
        <v>0.40179208148968082</v>
      </c>
      <c r="G21" s="279">
        <f t="shared" si="1"/>
        <v>0.39398409039848198</v>
      </c>
      <c r="H21" s="285">
        <f t="shared" si="1"/>
        <v>0.42160270921590492</v>
      </c>
      <c r="I21" s="277">
        <f t="shared" si="1"/>
        <v>1.0371137627084477</v>
      </c>
      <c r="J21" s="278">
        <f t="shared" si="1"/>
        <v>0.32528023420533769</v>
      </c>
      <c r="K21" s="279">
        <f t="shared" si="1"/>
        <v>0.66301640903699399</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5MBAON7mxLm+17bZxWnLdfTcDsArhlgztgsOc3apqh+Dh5TnfUK1BFJiK8lXAR0PehaNo0EchWbefKwJ0Ul3g==" saltValue="qdhgKuKesmo4oPR7vzTtC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2025-06-03T21:00:42Z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